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varnica\Dropbox\Odjel\Izvješća\Rebalans\2023\"/>
    </mc:Choice>
  </mc:AlternateContent>
  <xr:revisionPtr revIDLastSave="0" documentId="13_ncr:1_{FEB8A2CF-CAF7-4144-8771-3EAABF7D05EC}" xr6:coauthVersionLast="36" xr6:coauthVersionMax="36" xr10:uidLastSave="{00000000-0000-0000-0000-000000000000}"/>
  <bookViews>
    <workbookView xWindow="0" yWindow="0" windowWidth="38400" windowHeight="1728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primitaka'!$R$5:$V$119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R10" i="17" l="1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K4" i="17" l="1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H56" i="17" l="1"/>
  <c r="I56" i="17"/>
  <c r="F56" i="17"/>
  <c r="O56" i="17"/>
  <c r="P56" i="17"/>
  <c r="D56" i="17"/>
  <c r="Q56" i="17"/>
  <c r="I70" i="17" l="1"/>
  <c r="I71" i="17"/>
  <c r="H71" i="17"/>
  <c r="H70" i="17"/>
  <c r="F71" i="17"/>
  <c r="O71" i="17"/>
  <c r="P71" i="17"/>
  <c r="D71" i="17"/>
  <c r="Q71" i="17"/>
  <c r="F70" i="17"/>
  <c r="O70" i="17"/>
  <c r="P70" i="17"/>
  <c r="D70" i="17"/>
  <c r="Q70" i="17"/>
  <c r="I53" i="17"/>
  <c r="I54" i="17"/>
  <c r="I55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H53" i="17"/>
  <c r="H54" i="17"/>
  <c r="H55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F69" i="17"/>
  <c r="O69" i="17"/>
  <c r="P69" i="17"/>
  <c r="D69" i="17"/>
  <c r="Q69" i="17"/>
  <c r="F68" i="17"/>
  <c r="O68" i="17"/>
  <c r="P68" i="17"/>
  <c r="D68" i="17"/>
  <c r="Q68" i="17"/>
  <c r="F64" i="17"/>
  <c r="O64" i="17"/>
  <c r="P64" i="17"/>
  <c r="D64" i="17"/>
  <c r="Q64" i="17"/>
  <c r="F63" i="17"/>
  <c r="O63" i="17"/>
  <c r="P63" i="17"/>
  <c r="D63" i="17"/>
  <c r="Q63" i="17"/>
  <c r="F62" i="17"/>
  <c r="O62" i="17"/>
  <c r="P62" i="17"/>
  <c r="D62" i="17"/>
  <c r="Q62" i="17"/>
  <c r="F61" i="17"/>
  <c r="O61" i="17"/>
  <c r="P61" i="17"/>
  <c r="D61" i="17"/>
  <c r="Q61" i="17"/>
  <c r="F60" i="17"/>
  <c r="O60" i="17"/>
  <c r="P60" i="17"/>
  <c r="D60" i="17"/>
  <c r="Q60" i="17"/>
  <c r="F59" i="17"/>
  <c r="O59" i="17"/>
  <c r="P59" i="17"/>
  <c r="D59" i="17"/>
  <c r="Q59" i="17"/>
  <c r="F57" i="17"/>
  <c r="O57" i="17"/>
  <c r="P57" i="17"/>
  <c r="D57" i="17"/>
  <c r="Q57" i="17"/>
  <c r="F54" i="17"/>
  <c r="O54" i="17"/>
  <c r="P54" i="17"/>
  <c r="D54" i="17"/>
  <c r="Q54" i="17"/>
  <c r="F53" i="17"/>
  <c r="O53" i="17"/>
  <c r="P53" i="17"/>
  <c r="D53" i="17"/>
  <c r="Q53" i="17"/>
  <c r="H52" i="17"/>
  <c r="I52" i="17"/>
  <c r="F52" i="17"/>
  <c r="O52" i="17"/>
  <c r="P52" i="17"/>
  <c r="D52" i="17"/>
  <c r="Q52" i="17"/>
  <c r="H51" i="17"/>
  <c r="I51" i="17"/>
  <c r="F51" i="17"/>
  <c r="O51" i="17"/>
  <c r="P51" i="17"/>
  <c r="D51" i="17"/>
  <c r="Q51" i="17"/>
  <c r="I50" i="17"/>
  <c r="H50" i="17"/>
  <c r="F50" i="17"/>
  <c r="O50" i="17"/>
  <c r="P50" i="17"/>
  <c r="D50" i="17"/>
  <c r="Q50" i="17"/>
  <c r="I27" i="17"/>
  <c r="H27" i="17"/>
  <c r="F27" i="17"/>
  <c r="O27" i="17"/>
  <c r="P27" i="17"/>
  <c r="D27" i="17"/>
  <c r="Q27" i="17"/>
  <c r="I10" i="17"/>
  <c r="H10" i="17"/>
  <c r="F10" i="17"/>
  <c r="O10" i="17"/>
  <c r="P10" i="17"/>
  <c r="D10" i="17"/>
  <c r="Q10" i="17"/>
  <c r="K3" i="17"/>
  <c r="H48" i="17"/>
  <c r="I48" i="17"/>
  <c r="F48" i="17"/>
  <c r="O48" i="17"/>
  <c r="P48" i="17"/>
  <c r="D48" i="17"/>
  <c r="Q48" i="17"/>
  <c r="H41" i="17"/>
  <c r="I41" i="17"/>
  <c r="F41" i="17"/>
  <c r="O41" i="17"/>
  <c r="P41" i="17"/>
  <c r="D41" i="17"/>
  <c r="Q41" i="17"/>
  <c r="I40" i="17"/>
  <c r="H40" i="17"/>
  <c r="F40" i="17"/>
  <c r="O40" i="17"/>
  <c r="P40" i="17"/>
  <c r="D40" i="17"/>
  <c r="Q40" i="17"/>
  <c r="I39" i="17"/>
  <c r="H39" i="17"/>
  <c r="F39" i="17"/>
  <c r="O39" i="17"/>
  <c r="P39" i="17"/>
  <c r="D39" i="17"/>
  <c r="Q39" i="17"/>
  <c r="H4" i="4"/>
  <c r="H5" i="4"/>
  <c r="H6" i="4"/>
  <c r="H7" i="4"/>
  <c r="H8" i="4"/>
  <c r="H9" i="4"/>
  <c r="H10" i="4"/>
  <c r="H11" i="4"/>
  <c r="H12" i="4"/>
  <c r="H13" i="4"/>
  <c r="H14" i="4"/>
  <c r="H15" i="4"/>
  <c r="H3" i="4"/>
  <c r="F8" i="4" l="1"/>
  <c r="L8" i="4"/>
  <c r="M8" i="4"/>
  <c r="D8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40" i="4" l="1"/>
  <c r="N176" i="17"/>
  <c r="N174" i="17"/>
  <c r="N173" i="17"/>
  <c r="N175" i="17" l="1"/>
  <c r="N177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4" i="25" l="1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G10" i="25" s="1"/>
  <c r="T10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C70" i="33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32" i="4"/>
  <c r="I16" i="17"/>
  <c r="I17" i="17"/>
  <c r="I18" i="17"/>
  <c r="I19" i="17"/>
  <c r="I20" i="17"/>
  <c r="I21" i="17"/>
  <c r="I22" i="17"/>
  <c r="I23" i="17"/>
  <c r="I24" i="17"/>
  <c r="I25" i="17"/>
  <c r="I26" i="17"/>
  <c r="I28" i="17"/>
  <c r="I29" i="17"/>
  <c r="I30" i="17"/>
  <c r="I31" i="17"/>
  <c r="I32" i="17"/>
  <c r="I33" i="17"/>
  <c r="I34" i="17"/>
  <c r="I35" i="17"/>
  <c r="I36" i="17"/>
  <c r="I37" i="17"/>
  <c r="I38" i="17"/>
  <c r="I42" i="17"/>
  <c r="I43" i="17"/>
  <c r="I44" i="17"/>
  <c r="I45" i="17"/>
  <c r="I46" i="17"/>
  <c r="I47" i="17"/>
  <c r="I49" i="17"/>
  <c r="I72" i="17"/>
  <c r="I73" i="17"/>
  <c r="I74" i="17"/>
  <c r="I75" i="17"/>
  <c r="I76" i="17"/>
  <c r="I77" i="17"/>
  <c r="I78" i="17"/>
  <c r="I79" i="17"/>
  <c r="I80" i="17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512" i="17"/>
  <c r="R512" i="17" s="1"/>
  <c r="I513" i="17"/>
  <c r="R513" i="17" s="1"/>
  <c r="I514" i="17"/>
  <c r="R514" i="17" s="1"/>
  <c r="I515" i="17"/>
  <c r="R515" i="17" s="1"/>
  <c r="I516" i="17"/>
  <c r="R516" i="17" s="1"/>
  <c r="I517" i="17"/>
  <c r="R517" i="17" s="1"/>
  <c r="I518" i="17"/>
  <c r="R518" i="17" s="1"/>
  <c r="I519" i="17"/>
  <c r="R519" i="17" s="1"/>
  <c r="I520" i="17"/>
  <c r="R520" i="17" s="1"/>
  <c r="I521" i="17"/>
  <c r="R521" i="17" s="1"/>
  <c r="I522" i="17"/>
  <c r="R522" i="17" s="1"/>
  <c r="I523" i="17"/>
  <c r="R523" i="17" s="1"/>
  <c r="I524" i="17"/>
  <c r="R524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1" i="17"/>
  <c r="I12" i="17"/>
  <c r="I13" i="17"/>
  <c r="I14" i="17"/>
  <c r="I15" i="17"/>
  <c r="I3" i="17"/>
  <c r="R3" i="17" s="1"/>
  <c r="H4" i="17"/>
  <c r="H5" i="17"/>
  <c r="H6" i="17"/>
  <c r="H7" i="17"/>
  <c r="H8" i="17"/>
  <c r="H9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8" i="17"/>
  <c r="H29" i="17"/>
  <c r="H30" i="17"/>
  <c r="H31" i="17"/>
  <c r="H32" i="17"/>
  <c r="H33" i="17"/>
  <c r="H34" i="17"/>
  <c r="H35" i="17"/>
  <c r="H36" i="17"/>
  <c r="H37" i="17"/>
  <c r="H38" i="17"/>
  <c r="H42" i="17"/>
  <c r="H43" i="17"/>
  <c r="H44" i="17"/>
  <c r="H45" i="17"/>
  <c r="H46" i="17"/>
  <c r="H47" i="17"/>
  <c r="H49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C5" i="33" l="1"/>
  <c r="E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8" i="17"/>
  <c r="Q29" i="17"/>
  <c r="Q30" i="17"/>
  <c r="Q31" i="17"/>
  <c r="Q32" i="17"/>
  <c r="Q33" i="17"/>
  <c r="Q34" i="17"/>
  <c r="Q35" i="17"/>
  <c r="Q36" i="17"/>
  <c r="Q37" i="17"/>
  <c r="Q38" i="17"/>
  <c r="Q42" i="17"/>
  <c r="Q43" i="17"/>
  <c r="Q44" i="17"/>
  <c r="Q45" i="17"/>
  <c r="Q46" i="17"/>
  <c r="Q47" i="17"/>
  <c r="Q49" i="17"/>
  <c r="Q55" i="17"/>
  <c r="Q58" i="17"/>
  <c r="Q65" i="17"/>
  <c r="Q66" i="17"/>
  <c r="Q67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7" i="4"/>
  <c r="D7" i="4"/>
  <c r="C7" i="4"/>
  <c r="B7" i="4"/>
  <c r="A7" i="4"/>
  <c r="F6" i="4"/>
  <c r="D6" i="4"/>
  <c r="C6" i="4"/>
  <c r="B6" i="4"/>
  <c r="A6" i="4"/>
  <c r="F5" i="4"/>
  <c r="D5" i="4"/>
  <c r="B5" i="4"/>
  <c r="F4" i="4"/>
  <c r="D4" i="4"/>
  <c r="B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24" i="17"/>
  <c r="D524" i="17"/>
  <c r="B524" i="17"/>
  <c r="A524" i="17"/>
  <c r="F523" i="17"/>
  <c r="D523" i="17"/>
  <c r="B523" i="17"/>
  <c r="A523" i="17"/>
  <c r="F522" i="17"/>
  <c r="D522" i="17"/>
  <c r="B522" i="17"/>
  <c r="A522" i="17"/>
  <c r="F521" i="17"/>
  <c r="D521" i="17"/>
  <c r="B521" i="17"/>
  <c r="A521" i="17"/>
  <c r="F520" i="17"/>
  <c r="D520" i="17"/>
  <c r="B520" i="17"/>
  <c r="A520" i="17"/>
  <c r="F519" i="17"/>
  <c r="D519" i="17"/>
  <c r="B519" i="17"/>
  <c r="A519" i="17"/>
  <c r="F518" i="17"/>
  <c r="D518" i="17"/>
  <c r="B518" i="17"/>
  <c r="A518" i="17"/>
  <c r="F517" i="17"/>
  <c r="D517" i="17"/>
  <c r="B517" i="17"/>
  <c r="A517" i="17"/>
  <c r="F516" i="17"/>
  <c r="D516" i="17"/>
  <c r="B516" i="17"/>
  <c r="A516" i="17"/>
  <c r="F515" i="17"/>
  <c r="D515" i="17"/>
  <c r="B515" i="17"/>
  <c r="A515" i="17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58" i="17"/>
  <c r="D58" i="17"/>
  <c r="B58" i="17"/>
  <c r="A58" i="17"/>
  <c r="F55" i="17"/>
  <c r="D55" i="17"/>
  <c r="B55" i="17"/>
  <c r="A55" i="17"/>
  <c r="F49" i="17"/>
  <c r="D49" i="17"/>
  <c r="B49" i="17"/>
  <c r="A49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Y106" i="17"/>
  <c r="Z106" i="17"/>
  <c r="Y105" i="17"/>
  <c r="Z105" i="17"/>
  <c r="M11" i="31" l="1"/>
  <c r="N41" i="14"/>
  <c r="M58" i="14"/>
  <c r="M32" i="14"/>
  <c r="E5" i="14"/>
  <c r="E74" i="14"/>
  <c r="N5" i="14"/>
  <c r="M41" i="14"/>
  <c r="E49" i="14"/>
  <c r="N49" i="14"/>
  <c r="N32" i="14"/>
  <c r="M5" i="14"/>
  <c r="M74" i="14"/>
  <c r="E58" i="14"/>
  <c r="E32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K57" i="14"/>
  <c r="Y11" i="17"/>
  <c r="Z11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104" i="17"/>
  <c r="Y104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42" i="17"/>
  <c r="Z142" i="17"/>
  <c r="Y143" i="17"/>
  <c r="Z143" i="17"/>
  <c r="Y144" i="17"/>
  <c r="Z144" i="17"/>
  <c r="Y145" i="17"/>
  <c r="Z145" i="17"/>
  <c r="Y146" i="17"/>
  <c r="Z146" i="17"/>
  <c r="Y147" i="17"/>
  <c r="Z147" i="17"/>
  <c r="Y148" i="17"/>
  <c r="Z148" i="17"/>
  <c r="Y149" i="17"/>
  <c r="Z149" i="17"/>
  <c r="Y150" i="17"/>
  <c r="Z150" i="17"/>
  <c r="Y151" i="17"/>
  <c r="Z151" i="17"/>
  <c r="Y152" i="17"/>
  <c r="Z152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8" i="17"/>
  <c r="Z29" i="17"/>
  <c r="Z30" i="17"/>
  <c r="Z31" i="17"/>
  <c r="Z32" i="17"/>
  <c r="Z33" i="17"/>
  <c r="Z34" i="17"/>
  <c r="Z35" i="17"/>
  <c r="Z36" i="17"/>
  <c r="Z37" i="17"/>
  <c r="Z38" i="17"/>
  <c r="Z42" i="17"/>
  <c r="Z43" i="17"/>
  <c r="Z44" i="17"/>
  <c r="Z45" i="17"/>
  <c r="Z46" i="17"/>
  <c r="Z47" i="17"/>
  <c r="Z49" i="17"/>
  <c r="Z55" i="17"/>
  <c r="Z58" i="17"/>
  <c r="Z65" i="17"/>
  <c r="Z66" i="17"/>
  <c r="Z67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9" i="17"/>
  <c r="P49" i="17"/>
  <c r="O55" i="17"/>
  <c r="P55" i="17"/>
  <c r="O58" i="17"/>
  <c r="P58" i="17"/>
  <c r="O65" i="17"/>
  <c r="P65" i="17"/>
  <c r="O66" i="17"/>
  <c r="P66" i="17"/>
  <c r="O67" i="17"/>
  <c r="P67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O516" i="17"/>
  <c r="P516" i="17"/>
  <c r="O517" i="17"/>
  <c r="P517" i="17"/>
  <c r="O518" i="17"/>
  <c r="P518" i="17"/>
  <c r="O519" i="17"/>
  <c r="P519" i="17"/>
  <c r="O520" i="17"/>
  <c r="P520" i="17"/>
  <c r="O521" i="17"/>
  <c r="P521" i="17"/>
  <c r="O522" i="17"/>
  <c r="P522" i="17"/>
  <c r="O523" i="17"/>
  <c r="P523" i="17"/>
  <c r="O524" i="17"/>
  <c r="P524" i="17"/>
  <c r="Y9" i="17"/>
  <c r="Y13" i="17"/>
  <c r="Y29" i="17"/>
  <c r="Y42" i="17"/>
  <c r="Y95" i="17"/>
  <c r="Y44" i="17"/>
  <c r="Y114" i="17"/>
  <c r="Y35" i="17"/>
  <c r="Y12" i="17"/>
  <c r="Y19" i="17"/>
  <c r="Y30" i="17"/>
  <c r="Y97" i="17"/>
  <c r="Y117" i="17"/>
  <c r="Y14" i="17"/>
  <c r="Y16" i="17"/>
  <c r="Y32" i="17"/>
  <c r="Y33" i="17"/>
  <c r="Y36" i="17"/>
  <c r="Y38" i="17"/>
  <c r="Y55" i="17"/>
  <c r="Y58" i="17"/>
  <c r="Y79" i="17"/>
  <c r="Y118" i="17"/>
  <c r="Y120" i="17"/>
  <c r="Y126" i="17"/>
  <c r="Y17" i="17"/>
  <c r="Y18" i="17"/>
  <c r="Y20" i="17"/>
  <c r="Y23" i="17"/>
  <c r="Y24" i="17"/>
  <c r="Y25" i="17"/>
  <c r="Y31" i="17"/>
  <c r="Y81" i="17"/>
  <c r="Y85" i="17"/>
  <c r="Y92" i="17"/>
  <c r="Y94" i="17"/>
  <c r="Y121" i="17"/>
  <c r="Y131" i="17"/>
  <c r="Y26" i="17"/>
  <c r="Y28" i="17"/>
  <c r="Y22" i="17"/>
  <c r="Y75" i="17"/>
  <c r="Y119" i="17"/>
  <c r="Y133" i="17"/>
  <c r="Y136" i="17"/>
  <c r="Y87" i="17"/>
  <c r="Y7" i="17"/>
  <c r="Y15" i="17"/>
  <c r="Y91" i="17"/>
  <c r="Y110" i="17"/>
  <c r="Y123" i="17"/>
  <c r="Y37" i="17"/>
  <c r="Y74" i="17"/>
  <c r="Y83" i="17"/>
  <c r="Y111" i="17"/>
  <c r="Y134" i="17"/>
  <c r="Y139" i="17"/>
  <c r="Y34" i="17"/>
  <c r="Y65" i="17"/>
  <c r="Y76" i="17"/>
  <c r="Y66" i="17"/>
  <c r="Y127" i="17"/>
  <c r="Y137" i="17"/>
  <c r="Y88" i="17"/>
  <c r="Y6" i="17"/>
  <c r="Y8" i="17"/>
  <c r="Y43" i="17"/>
  <c r="Y46" i="17"/>
  <c r="Y47" i="17"/>
  <c r="Y93" i="17"/>
  <c r="Y96" i="17"/>
  <c r="Y99" i="17"/>
  <c r="Y100" i="17"/>
  <c r="Y101" i="17"/>
  <c r="Y102" i="17"/>
  <c r="Y103" i="17"/>
  <c r="Y107" i="17"/>
  <c r="Y109" i="17"/>
  <c r="Y112" i="17"/>
  <c r="Y115" i="17"/>
  <c r="Y116" i="17"/>
  <c r="Y122" i="17"/>
  <c r="Y124" i="17"/>
  <c r="Y129" i="17"/>
  <c r="Y130" i="17"/>
  <c r="Y132" i="17"/>
  <c r="Y135" i="17"/>
  <c r="Y141" i="17"/>
  <c r="Y89" i="17"/>
  <c r="Y98" i="17"/>
  <c r="Y125" i="17"/>
  <c r="Y128" i="17"/>
  <c r="Y113" i="17"/>
  <c r="Y21" i="17"/>
  <c r="Y84" i="17"/>
  <c r="Y77" i="17"/>
  <c r="Y67" i="17"/>
  <c r="Y72" i="17"/>
  <c r="Y80" i="17"/>
  <c r="Y82" i="17"/>
  <c r="Y138" i="17"/>
  <c r="Y45" i="17"/>
  <c r="Y49" i="17"/>
  <c r="Y90" i="17"/>
  <c r="Y108" i="17"/>
  <c r="Y140" i="17"/>
  <c r="Y73" i="17"/>
  <c r="Y78" i="17"/>
  <c r="Y86" i="17"/>
  <c r="Y5" i="17"/>
  <c r="D6" i="14" l="1"/>
  <c r="I13" i="31"/>
  <c r="I76" i="14"/>
  <c r="I34" i="14"/>
  <c r="I75" i="14"/>
  <c r="I33" i="14"/>
  <c r="I73" i="14"/>
  <c r="I31" i="14"/>
  <c r="I72" i="14"/>
  <c r="I30" i="14"/>
  <c r="I52" i="14"/>
  <c r="I12" i="31"/>
  <c r="I23" i="31"/>
  <c r="I51" i="14"/>
  <c r="I53" i="14"/>
  <c r="I78" i="14"/>
  <c r="I47" i="14"/>
  <c r="I34" i="31"/>
  <c r="I69" i="14"/>
  <c r="I17" i="14"/>
  <c r="I64" i="14"/>
  <c r="I12" i="14"/>
  <c r="I59" i="14"/>
  <c r="I6" i="14"/>
  <c r="I54" i="14"/>
  <c r="I46" i="14"/>
  <c r="I45" i="14"/>
  <c r="I50" i="14"/>
  <c r="I25" i="14"/>
  <c r="I35" i="14"/>
  <c r="I48" i="14"/>
  <c r="I77" i="14"/>
  <c r="I35" i="31"/>
  <c r="I44" i="14"/>
  <c r="I43" i="14"/>
  <c r="I42" i="14"/>
  <c r="I37" i="14"/>
  <c r="I21" i="14"/>
  <c r="I24" i="31"/>
  <c r="I36" i="14"/>
  <c r="I71" i="14"/>
  <c r="I79" i="14"/>
  <c r="I70" i="14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I11" i="31" l="1"/>
  <c r="I22" i="31"/>
  <c r="I74" i="14"/>
  <c r="I41" i="14"/>
  <c r="I49" i="14"/>
  <c r="I5" i="14"/>
  <c r="I58" i="14"/>
  <c r="I33" i="31"/>
  <c r="I32" i="14"/>
  <c r="D5" i="14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E15" i="32" s="1"/>
  <c r="U4" i="14"/>
  <c r="S57" i="14"/>
  <c r="Q57" i="14"/>
  <c r="F4" i="14"/>
  <c r="J57" i="14"/>
  <c r="E16" i="32" s="1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4" i="32" l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<sst xmlns="http://schemas.openxmlformats.org/spreadsheetml/2006/main" count="13745" uniqueCount="5274">
  <si>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</si>
  <si>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</si>
  <si>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</si>
  <si>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</si>
  <si>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</si>
  <si>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</si>
  <si>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</si>
  <si>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</si>
  <si>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</si>
  <si>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</si>
  <si>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</si>
  <si>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</si>
  <si>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</si>
  <si>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</si>
  <si>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</si>
  <si>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</si>
  <si>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</si>
  <si>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</si>
  <si>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</si>
  <si>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</si>
  <si>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</si>
  <si>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</si>
  <si>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</si>
  <si>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</si>
  <si>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</si>
  <si>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</si>
  <si>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</si>
  <si>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</si>
  <si>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</si>
  <si>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</si>
  <si>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</si>
  <si>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</si>
  <si>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</si>
  <si>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</si>
  <si>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</si>
  <si>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</si>
  <si>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</si>
  <si>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</si>
  <si>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</si>
  <si>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</si>
  <si>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</si>
  <si>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</si>
  <si>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</si>
  <si>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</si>
  <si>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</si>
  <si>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</si>
  <si>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</si>
  <si>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</si>
  <si>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</si>
  <si>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</si>
  <si>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</si>
  <si>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</si>
  <si>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</si>
  <si>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</si>
  <si>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</si>
  <si>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</si>
  <si>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</si>
  <si>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</si>
  <si>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</si>
  <si>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</si>
  <si>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</si>
  <si>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</si>
  <si>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</si>
  <si>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</si>
  <si>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</si>
  <si>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</si>
  <si>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</si>
  <si>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</si>
  <si>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</si>
  <si>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</si>
  <si>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</si>
  <si>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</si>
  <si>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</si>
  <si>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</si>
  <si>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</si>
  <si>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</si>
  <si>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</si>
  <si>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</si>
  <si>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</si>
  <si>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</si>
  <si>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</si>
  <si>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</si>
  <si>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</si>
  <si>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</si>
  <si>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</si>
  <si>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</si>
  <si>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</si>
  <si>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</si>
  <si>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</si>
  <si>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</si>
  <si>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</si>
  <si>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</si>
  <si>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</si>
  <si>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</si>
  <si>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</si>
  <si>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</si>
  <si>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</si>
  <si>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</si>
  <si>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</si>
  <si>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</si>
  <si>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</si>
  <si>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</si>
  <si>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</si>
  <si>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</si>
  <si>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</si>
  <si>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</si>
  <si>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</si>
  <si>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</si>
  <si>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</si>
  <si>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</si>
  <si>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</si>
  <si>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</si>
  <si>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</si>
  <si>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</si>
  <si>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</si>
  <si>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</si>
  <si>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</si>
  <si>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</si>
  <si>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</si>
  <si>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</si>
  <si>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</si>
  <si>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</si>
  <si>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</si>
  <si>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</si>
  <si>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</si>
  <si>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</si>
  <si>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</si>
  <si>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</si>
  <si>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</si>
  <si>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</si>
  <si>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</si>
  <si>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</si>
  <si>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</si>
  <si>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</si>
  <si>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</si>
  <si>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</si>
  <si>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</si>
  <si>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</si>
  <si>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</si>
  <si>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</si>
  <si>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</si>
  <si>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</si>
  <si>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</si>
  <si>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</si>
  <si>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</si>
  <si>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</si>
  <si>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</si>
  <si>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</si>
  <si>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</si>
  <si>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</si>
  <si>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</si>
  <si>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</si>
  <si>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</si>
  <si>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</si>
  <si>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</si>
  <si>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</si>
  <si>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</si>
  <si>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</si>
  <si>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</si>
  <si>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</si>
  <si>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</si>
  <si>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</si>
  <si>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</si>
  <si>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</si>
  <si>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</si>
  <si>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</si>
  <si>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</si>
  <si>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</si>
  <si>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</si>
  <si>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</si>
  <si>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</si>
  <si>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</si>
  <si>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</si>
  <si>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</si>
  <si>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</si>
  <si>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</si>
  <si>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</si>
  <si>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</si>
  <si>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</si>
  <si>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</si>
  <si>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</si>
  <si>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</si>
  <si>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</si>
  <si>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</si>
  <si>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</si>
  <si>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</si>
  <si>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</si>
  <si>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</si>
  <si>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</si>
  <si>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</si>
  <si>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</si>
  <si>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</si>
  <si>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</si>
  <si>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</si>
  <si>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</si>
  <si>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</si>
  <si>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</si>
  <si>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</si>
  <si>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</si>
  <si>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</si>
  <si>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</si>
  <si>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</si>
  <si>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</si>
  <si>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</si>
  <si>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</si>
  <si>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</si>
  <si>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</si>
  <si>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</si>
  <si>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</si>
  <si>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</si>
  <si>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</si>
  <si>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</si>
  <si>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</si>
  <si>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</si>
  <si>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</si>
  <si>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</si>
  <si>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</si>
  <si>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</si>
  <si>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</si>
  <si>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</si>
  <si>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</si>
  <si>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</si>
  <si>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</si>
  <si>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</si>
  <si>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</si>
  <si>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</si>
  <si>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</si>
  <si>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</si>
  <si>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</si>
  <si>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</si>
  <si>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</si>
  <si>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</si>
  <si>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</si>
  <si>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</si>
  <si>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</si>
  <si>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</si>
  <si>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</si>
  <si>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</si>
  <si>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</si>
  <si>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</si>
  <si>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</si>
  <si>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</si>
  <si>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</si>
  <si>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</si>
  <si>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</si>
  <si>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</si>
  <si>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</si>
  <si>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</si>
  <si>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</si>
  <si>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</si>
  <si>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</si>
  <si>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</si>
  <si>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</si>
  <si>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</si>
  <si>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</si>
  <si>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</si>
  <si>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</si>
  <si>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</si>
  <si>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</si>
  <si>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</si>
  <si>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</si>
  <si>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</si>
  <si>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</si>
  <si>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</si>
  <si>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</si>
  <si>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</si>
  <si>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</si>
  <si>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</si>
  <si>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</si>
  <si>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</si>
  <si>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</si>
  <si>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</si>
  <si>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</si>
  <si>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</si>
  <si>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</si>
  <si>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</si>
  <si>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</si>
  <si>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</si>
  <si>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</si>
  <si>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</si>
  <si>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</si>
  <si>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</si>
  <si>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</si>
  <si>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</si>
  <si>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</si>
  <si>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</si>
  <si>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</si>
  <si>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</si>
  <si>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</si>
  <si>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</si>
  <si>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</si>
  <si>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</si>
  <si>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</si>
  <si>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</si>
  <si>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</si>
  <si>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</si>
  <si>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</si>
  <si>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</si>
  <si>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</si>
  <si>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</si>
  <si>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</si>
  <si>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</si>
  <si>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</si>
  <si>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</si>
  <si>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</si>
  <si>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</si>
  <si>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</si>
  <si>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</si>
  <si>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</si>
  <si>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</si>
  <si>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</si>
  <si>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</si>
  <si>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</si>
  <si>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</si>
  <si>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</si>
  <si>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</si>
  <si>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</si>
  <si>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</si>
  <si>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</si>
  <si>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</si>
  <si>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</si>
  <si>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</si>
  <si>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</si>
  <si>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</si>
  <si>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</si>
  <si>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</si>
  <si>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</si>
  <si>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</si>
  <si>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</si>
  <si>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</si>
  <si>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</si>
  <si>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</si>
  <si>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</si>
  <si>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</si>
  <si>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</si>
  <si>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</si>
  <si>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</si>
  <si>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</si>
  <si>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</si>
  <si>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</si>
  <si>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</si>
  <si>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</si>
  <si>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</si>
  <si>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</si>
  <si>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</si>
  <si>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</si>
  <si>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</si>
  <si>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</si>
  <si>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</si>
  <si>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</si>
  <si>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</si>
  <si>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</si>
  <si>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</si>
  <si>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</si>
  <si>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</si>
  <si>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</si>
  <si>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</si>
  <si>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</si>
  <si>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</si>
  <si>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</si>
  <si>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</si>
  <si>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</si>
  <si>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</si>
  <si>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</si>
  <si>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</si>
  <si>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</si>
  <si>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</si>
  <si>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</si>
  <si>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</si>
  <si>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</si>
  <si>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</si>
  <si>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</si>
  <si>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</si>
  <si>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</si>
  <si>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</si>
  <si>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</si>
  <si>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</si>
  <si>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</si>
  <si>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</si>
  <si>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</si>
  <si>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</si>
  <si>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</si>
  <si>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</si>
  <si>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</si>
  <si>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</si>
  <si>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</si>
  <si>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</si>
  <si>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</si>
  <si>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</si>
  <si>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</si>
  <si>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</si>
  <si>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</si>
  <si>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</si>
  <si>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</si>
  <si>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</si>
  <si>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</si>
  <si>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</si>
  <si>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</si>
  <si>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</si>
  <si>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</si>
  <si>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</si>
  <si>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</si>
  <si>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</si>
  <si>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</si>
  <si>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</si>
  <si>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</si>
  <si>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</si>
  <si>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</si>
  <si>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</si>
  <si>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</si>
  <si>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</si>
  <si>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</si>
  <si>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</si>
  <si>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</si>
  <si>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</si>
  <si>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</si>
  <si>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</si>
  <si>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</si>
  <si>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</si>
  <si>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</si>
  <si>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</si>
  <si>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</si>
  <si>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</si>
  <si>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</si>
  <si>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</si>
  <si>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</si>
  <si>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</si>
  <si>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</si>
  <si>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</si>
  <si>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</si>
  <si>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</si>
  <si>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</si>
  <si>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</si>
  <si>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</si>
  <si>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</si>
  <si>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</si>
  <si>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</si>
  <si>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</si>
  <si>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</si>
  <si>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</si>
  <si>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</si>
  <si>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</si>
  <si>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</si>
  <si>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</si>
  <si>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</si>
  <si>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</si>
  <si>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</si>
  <si>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</si>
  <si>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</si>
  <si>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</si>
  <si>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</si>
  <si>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</si>
  <si>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</si>
  <si>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</si>
  <si>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</si>
  <si>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</si>
  <si>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</si>
  <si>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</si>
  <si>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</si>
  <si>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</si>
  <si>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</si>
  <si>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</si>
  <si>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</si>
  <si>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</si>
  <si>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</si>
  <si>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</si>
  <si>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</si>
  <si>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</si>
  <si>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</si>
  <si>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</si>
  <si>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</si>
  <si>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</si>
  <si>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</si>
  <si>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</si>
  <si>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</si>
  <si>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</si>
  <si>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</si>
  <si>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</si>
  <si>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</si>
  <si>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</si>
  <si>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</si>
  <si>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</si>
  <si>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</si>
  <si>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</si>
  <si>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</si>
  <si>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</si>
  <si>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</si>
  <si>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</si>
  <si>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</si>
  <si>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</si>
  <si>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</si>
  <si>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</si>
  <si>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</si>
  <si>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</si>
  <si>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</si>
  <si>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</si>
  <si>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</si>
  <si>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</si>
  <si>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</si>
  <si>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</si>
  <si>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</si>
  <si>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</si>
  <si>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</si>
  <si>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</si>
  <si>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</si>
  <si>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</si>
  <si>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</si>
  <si>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</si>
  <si>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</si>
  <si>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</si>
  <si>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</si>
  <si>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</si>
  <si>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</si>
  <si>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</si>
  <si>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</si>
  <si>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</si>
  <si>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</si>
  <si>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</si>
  <si>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</si>
  <si>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</si>
  <si>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</si>
  <si>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</si>
  <si>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</si>
  <si>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</si>
  <si>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</si>
  <si>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</si>
  <si>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</si>
  <si>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</si>
  <si>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</si>
  <si>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</si>
  <si>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</si>
  <si>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</si>
  <si>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</si>
  <si>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</si>
  <si>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</si>
  <si>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</si>
  <si>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</si>
  <si>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</si>
  <si>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</si>
  <si>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</si>
  <si>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</si>
  <si>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</si>
  <si>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</si>
  <si>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</si>
  <si>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</si>
  <si>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</si>
  <si>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</si>
  <si>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</si>
  <si>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</si>
  <si>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</si>
  <si>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</si>
  <si>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</si>
  <si>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</si>
  <si>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</si>
  <si>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</si>
  <si>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</si>
  <si>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</si>
  <si>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</si>
  <si>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</si>
  <si>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</si>
  <si>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</si>
  <si>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</si>
  <si>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</si>
  <si>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</si>
  <si>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</si>
  <si>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</si>
  <si>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</si>
  <si>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</si>
  <si>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</si>
  <si>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</si>
  <si>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</si>
  <si>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</si>
  <si>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</si>
  <si>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</si>
  <si>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</si>
  <si>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</si>
  <si>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</si>
  <si>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</si>
  <si>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</si>
  <si>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</si>
  <si>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</si>
  <si>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</si>
  <si>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</si>
  <si>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</si>
  <si>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</si>
  <si>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</si>
  <si>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</si>
  <si>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</si>
  <si>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</si>
  <si>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</si>
  <si>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</si>
  <si>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</si>
  <si>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</si>
  <si>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</si>
  <si>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</si>
  <si>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</si>
  <si>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</si>
  <si>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</si>
  <si>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</si>
  <si>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</si>
  <si>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</si>
  <si>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</si>
  <si>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</si>
  <si>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</si>
  <si>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</si>
  <si>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</si>
  <si>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</si>
  <si>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</si>
  <si>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</si>
  <si>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</si>
  <si>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</si>
  <si>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</si>
  <si>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</si>
  <si>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</si>
  <si>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</si>
  <si>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</si>
  <si>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</si>
  <si>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</si>
  <si>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</si>
  <si>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</si>
  <si>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</si>
  <si>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</si>
  <si>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</si>
  <si>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</si>
  <si>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</si>
  <si>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</si>
  <si>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</si>
  <si>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</si>
  <si>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</si>
  <si>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</si>
  <si>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</si>
  <si>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</si>
  <si>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</si>
  <si>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</si>
  <si>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</si>
  <si>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</si>
  <si>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</si>
  <si>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</si>
  <si>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</si>
  <si>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</si>
  <si>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</si>
  <si>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</si>
  <si>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</si>
  <si>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</si>
  <si>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</si>
  <si>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</si>
  <si>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</si>
  <si>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</si>
  <si>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</si>
  <si>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</si>
  <si>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</si>
  <si>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</si>
  <si>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</si>
  <si>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</si>
  <si>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</si>
  <si>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</si>
  <si>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</si>
  <si>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</si>
  <si>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</si>
  <si>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</si>
  <si>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</si>
  <si>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</si>
  <si>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</si>
  <si>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</si>
  <si>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</si>
  <si>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</si>
  <si>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</si>
  <si>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</si>
  <si>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</si>
  <si>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</si>
  <si>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</si>
  <si>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</si>
  <si>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</si>
  <si>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</si>
  <si>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</si>
  <si>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</si>
  <si>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</si>
  <si>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</si>
  <si>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</si>
  <si>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</si>
  <si>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</si>
  <si>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</si>
  <si>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</si>
  <si>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</si>
  <si>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</si>
  <si>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</si>
  <si>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</si>
  <si>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</si>
  <si>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</si>
  <si>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</si>
  <si>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</si>
  <si>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</si>
  <si>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</si>
  <si>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</si>
  <si>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</si>
  <si>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</si>
  <si>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</si>
  <si>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</si>
  <si>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</si>
  <si>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</si>
  <si>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</si>
  <si>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</si>
  <si>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</si>
  <si>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</si>
  <si>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</si>
  <si>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</si>
  <si>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</si>
  <si>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</si>
  <si>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</si>
  <si>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</si>
  <si>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</si>
  <si>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</si>
  <si>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</si>
  <si>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</si>
  <si>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</si>
  <si>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</si>
  <si>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</si>
  <si>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</si>
  <si>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</si>
  <si>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</si>
  <si>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</si>
  <si>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</si>
  <si>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</si>
  <si>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</si>
  <si>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</si>
  <si>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</si>
  <si>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</si>
  <si>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</si>
  <si>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</si>
  <si>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</si>
  <si>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</si>
  <si>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</si>
  <si>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</si>
  <si>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</si>
  <si>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</si>
  <si>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</si>
  <si>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</si>
  <si>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</si>
  <si>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</si>
  <si>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</si>
  <si>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</si>
  <si>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</si>
  <si>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</si>
  <si>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</si>
  <si>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</si>
  <si>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</si>
  <si>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</si>
  <si>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</si>
  <si>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</si>
  <si>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</si>
  <si>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</si>
  <si>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</si>
  <si>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</si>
  <si>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</si>
  <si>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</si>
  <si>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</si>
  <si>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</si>
  <si>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</si>
  <si>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</si>
  <si>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</si>
  <si>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</si>
  <si>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</si>
  <si>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</si>
  <si>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</si>
  <si>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</si>
  <si>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</si>
  <si>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</si>
  <si>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</si>
  <si>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</si>
  <si>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</si>
  <si>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</si>
  <si>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</si>
  <si>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</si>
  <si>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</si>
  <si>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</si>
  <si>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</si>
  <si>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</si>
  <si>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</si>
  <si>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</si>
  <si>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</si>
  <si>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</si>
  <si>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</si>
  <si>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</si>
  <si>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</si>
  <si>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</si>
  <si>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</si>
  <si>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</si>
  <si>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</si>
  <si>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</si>
  <si>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</si>
  <si>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</si>
  <si>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</si>
  <si>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</si>
  <si>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</si>
  <si>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</si>
  <si>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</si>
  <si>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</si>
  <si>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</si>
  <si>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</si>
  <si>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</si>
  <si>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</si>
  <si>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</si>
  <si>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</si>
  <si>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</si>
  <si>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</si>
  <si>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</si>
  <si>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</si>
  <si>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</si>
  <si>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</si>
  <si>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</si>
  <si>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</si>
  <si>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</si>
  <si>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</si>
  <si>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</si>
  <si>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</si>
  <si>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</si>
  <si>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</si>
  <si>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</si>
  <si>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</si>
  <si>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</si>
  <si>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</si>
  <si>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</si>
  <si>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</si>
  <si>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</si>
  <si>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</si>
  <si>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</si>
  <si>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</si>
  <si>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</si>
  <si>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</si>
  <si>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</si>
  <si>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</si>
  <si>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</si>
  <si>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</si>
  <si>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</si>
  <si>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</si>
  <si>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</si>
  <si>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</si>
  <si>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</si>
  <si>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</si>
  <si>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</si>
  <si>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</si>
  <si>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</si>
  <si>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</si>
  <si>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</si>
  <si>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</si>
  <si>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</si>
  <si>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</si>
  <si>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</si>
  <si>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</si>
  <si>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</si>
  <si>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</si>
  <si>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</si>
  <si>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</si>
  <si>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</si>
  <si>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</si>
  <si>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</si>
  <si>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</si>
  <si>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</si>
  <si>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</si>
  <si>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</si>
  <si>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</si>
  <si>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</si>
  <si>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</si>
  <si>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</si>
  <si>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</si>
  <si>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</si>
  <si>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</si>
  <si>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</si>
  <si>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</si>
  <si>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</si>
  <si>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</si>
  <si>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</si>
  <si>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</si>
  <si>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</si>
  <si>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</si>
  <si>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</si>
  <si>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</si>
  <si>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</si>
  <si>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</si>
  <si>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</si>
  <si>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</si>
  <si>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</si>
  <si>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</si>
  <si>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</si>
  <si>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</si>
  <si>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</si>
  <si>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</si>
  <si>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</si>
  <si>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</si>
  <si>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</si>
  <si>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</si>
  <si>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</si>
  <si>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</si>
  <si>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</si>
  <si>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</si>
  <si>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</si>
  <si>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</si>
  <si>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</si>
  <si>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</si>
  <si>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</si>
  <si>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</si>
  <si>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</si>
  <si>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</si>
  <si>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</si>
  <si>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</si>
  <si>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</si>
  <si>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</si>
  <si>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</si>
  <si>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</si>
  <si>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</si>
  <si>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</si>
  <si>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</si>
  <si>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</si>
  <si>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</si>
  <si>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</si>
  <si>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</si>
  <si>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</si>
  <si>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</si>
  <si>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</si>
  <si>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</si>
  <si>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</si>
  <si>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</si>
  <si>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</si>
  <si>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</si>
  <si>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</si>
  <si>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</si>
  <si>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</si>
  <si>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</si>
  <si>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</si>
  <si>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</si>
  <si>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</si>
  <si>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</si>
  <si>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</si>
  <si>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</si>
  <si>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</si>
  <si>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</si>
  <si>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</si>
  <si>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</si>
  <si>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</si>
  <si>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</si>
  <si>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</si>
  <si>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</si>
  <si>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</si>
  <si>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</si>
  <si>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</si>
  <si>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</si>
  <si>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</si>
  <si>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</si>
  <si>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</si>
  <si>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</si>
  <si>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</si>
  <si>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</si>
  <si>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</si>
  <si>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</si>
  <si>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</si>
  <si>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</si>
  <si>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</si>
  <si>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</si>
  <si>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</si>
  <si>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</si>
  <si>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</si>
  <si>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</si>
  <si>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</si>
  <si>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</si>
  <si>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</si>
  <si>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</si>
  <si>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</si>
  <si>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</si>
  <si>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</si>
  <si>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</si>
  <si>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</si>
  <si>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</si>
  <si>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</si>
  <si>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</si>
  <si>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</si>
  <si>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</si>
  <si>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</si>
  <si>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</si>
  <si>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</si>
  <si>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</si>
  <si>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</si>
  <si>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</si>
  <si>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</si>
  <si>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</si>
  <si>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</si>
  <si>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</si>
  <si>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</si>
  <si>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</si>
  <si>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</si>
  <si>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</si>
  <si>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</si>
  <si>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</si>
  <si>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</si>
  <si>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</si>
  <si>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</si>
  <si>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</si>
  <si>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</si>
  <si>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</si>
  <si>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</si>
  <si>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</si>
  <si>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</si>
  <si>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</si>
  <si>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</si>
  <si>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</si>
  <si>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</si>
  <si>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</si>
  <si>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</si>
  <si>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</si>
  <si>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</si>
  <si>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</si>
  <si>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</si>
  <si>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</si>
  <si>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</si>
  <si>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</si>
  <si>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</si>
  <si>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</si>
  <si>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</si>
  <si>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</si>
  <si>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</si>
  <si>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</si>
  <si>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</si>
  <si>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</si>
  <si>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</si>
  <si>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</si>
  <si>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</si>
  <si>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</si>
  <si>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</si>
  <si>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</si>
  <si>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</si>
  <si>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</si>
  <si>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</si>
  <si>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</si>
  <si>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</si>
  <si>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</si>
  <si>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</si>
  <si>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</si>
  <si>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</si>
  <si>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</si>
  <si>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</si>
  <si>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</si>
  <si>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</si>
  <si>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</si>
  <si>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</si>
  <si>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</si>
  <si>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</si>
  <si>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</si>
  <si>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</si>
  <si>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</si>
  <si>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</si>
  <si>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</si>
  <si>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</si>
  <si>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</si>
  <si>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</si>
  <si>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</si>
  <si>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</si>
  <si>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</si>
  <si>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</si>
  <si>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</si>
  <si>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</si>
  <si>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</si>
  <si>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</si>
  <si>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</si>
  <si>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</si>
  <si>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</si>
  <si>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</si>
  <si>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</si>
  <si>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</si>
  <si>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</si>
  <si>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</si>
  <si>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</si>
  <si>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</si>
  <si>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</si>
  <si>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</si>
  <si>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</si>
  <si>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</si>
  <si>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</si>
  <si>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</si>
  <si>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</si>
  <si>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</si>
  <si>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</si>
  <si>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</si>
  <si>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</si>
  <si>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</si>
  <si>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</si>
  <si>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</si>
  <si>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</si>
  <si>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</si>
  <si>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</si>
  <si>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</si>
  <si>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</si>
  <si>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</si>
  <si>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</si>
  <si>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</si>
  <si>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</si>
  <si>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</si>
  <si>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</si>
  <si>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</si>
  <si>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</si>
  <si>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</si>
  <si>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</si>
  <si>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</si>
  <si>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</si>
  <si>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</si>
  <si>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</si>
  <si>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</si>
  <si>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</si>
  <si>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</si>
  <si>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</si>
  <si>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</si>
  <si>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</si>
  <si>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</si>
  <si>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</si>
  <si>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</si>
  <si>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</si>
  <si>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</si>
  <si>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</si>
  <si>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</si>
  <si>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</si>
  <si>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</si>
  <si>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</si>
  <si>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</si>
  <si>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</si>
  <si>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</si>
  <si>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</si>
  <si>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</si>
  <si>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</si>
  <si>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</si>
  <si>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</si>
  <si>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</si>
  <si>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</si>
  <si>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</si>
  <si>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</si>
  <si>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</si>
  <si>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</si>
  <si>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</si>
  <si>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</si>
  <si>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</si>
  <si>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</si>
  <si>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</si>
  <si>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</si>
  <si>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</si>
  <si>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</si>
  <si>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</si>
  <si>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</si>
  <si>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</si>
  <si>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</si>
  <si>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</si>
  <si>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</si>
  <si>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</si>
  <si>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</si>
  <si>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</si>
  <si>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</si>
  <si>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</si>
  <si>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</si>
  <si>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</si>
  <si>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</si>
  <si>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</si>
  <si>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</si>
  <si>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</si>
  <si>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</si>
  <si>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</si>
  <si>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</si>
  <si>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</si>
  <si>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</si>
  <si>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</si>
  <si>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</si>
  <si>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</si>
  <si>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</si>
  <si>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</si>
  <si>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</si>
  <si>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</si>
  <si>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</si>
  <si>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</si>
  <si>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</si>
  <si>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</si>
  <si>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</si>
  <si>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</si>
  <si>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</si>
  <si>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</si>
  <si>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</si>
  <si>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</si>
  <si>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</si>
  <si>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</si>
  <si>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</si>
  <si>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</si>
  <si>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</si>
  <si>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</si>
  <si>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</si>
  <si>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</si>
  <si>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</si>
  <si>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</si>
  <si>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</si>
  <si>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</si>
  <si>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</si>
  <si>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</si>
  <si>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</si>
  <si>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</si>
  <si>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</si>
  <si>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</si>
  <si>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</si>
  <si>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</si>
  <si>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</si>
  <si>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</si>
  <si>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</si>
  <si>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</si>
  <si>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</si>
  <si>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</si>
  <si>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</si>
  <si>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</si>
  <si>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</si>
  <si>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</si>
  <si>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</si>
  <si>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</si>
  <si>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</si>
  <si>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</si>
  <si>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</si>
  <si>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</si>
  <si>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</si>
  <si>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</si>
  <si>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</si>
  <si>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</si>
  <si>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</si>
  <si>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</si>
  <si>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</si>
  <si>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</si>
  <si>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</si>
  <si>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</si>
  <si>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</si>
  <si>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</si>
  <si>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</si>
  <si>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</si>
  <si>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</si>
  <si>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</si>
  <si>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</si>
  <si>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</si>
  <si>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</si>
  <si>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</si>
  <si>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</si>
  <si>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</si>
  <si>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</si>
  <si>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</si>
  <si>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</si>
  <si>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</si>
  <si>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</si>
  <si>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</si>
  <si>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</si>
  <si>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</si>
  <si>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</si>
  <si>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</si>
  <si>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</si>
  <si>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</si>
  <si>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</si>
  <si>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</si>
  <si>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</si>
  <si>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</si>
  <si>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</si>
  <si>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</si>
  <si>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</si>
  <si>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</si>
  <si>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</si>
  <si>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</si>
  <si>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</si>
  <si>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</si>
  <si>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</si>
  <si>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</si>
  <si>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</si>
  <si>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</si>
  <si>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</si>
  <si>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</si>
  <si>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</si>
  <si>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</si>
  <si>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</si>
  <si>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</si>
  <si>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</si>
  <si>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</si>
  <si>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</si>
  <si>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</si>
  <si>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</si>
  <si>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</si>
  <si>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</si>
  <si>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</si>
  <si>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</si>
  <si>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</si>
  <si>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</si>
  <si>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</si>
  <si>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</si>
  <si>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</si>
  <si>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</si>
  <si>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</si>
  <si>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</si>
  <si>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</si>
  <si>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</si>
  <si>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</si>
  <si>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</si>
  <si>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</si>
  <si>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</si>
  <si>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</si>
  <si>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</si>
  <si>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</si>
  <si>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</si>
  <si>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</si>
  <si>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</si>
  <si>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</si>
  <si>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</si>
  <si>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</si>
  <si>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</si>
  <si>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</si>
  <si>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</si>
  <si>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</si>
  <si>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</si>
  <si>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</si>
  <si>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</si>
  <si>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</si>
  <si>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</si>
  <si>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</si>
  <si>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</si>
  <si>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</si>
  <si>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</si>
  <si>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</si>
  <si>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</si>
  <si>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</si>
  <si>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</si>
  <si>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</si>
  <si>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</si>
  <si>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</si>
  <si>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</si>
  <si>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</si>
  <si>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</si>
  <si>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</si>
  <si>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</si>
  <si>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</si>
  <si>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</si>
  <si>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</si>
  <si>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</si>
  <si>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</si>
  <si>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</si>
  <si>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</si>
  <si>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</si>
  <si>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</si>
  <si>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</si>
  <si>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</si>
  <si>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</si>
  <si>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</si>
  <si>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</si>
  <si>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</si>
  <si>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</si>
  <si>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</si>
  <si>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</si>
  <si>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</si>
  <si>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</si>
  <si>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</si>
  <si>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</si>
  <si>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</si>
  <si>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</si>
  <si>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</si>
  <si>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</si>
  <si>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</si>
  <si>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</si>
  <si>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</si>
  <si>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</si>
  <si>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</si>
  <si>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</si>
  <si>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</si>
  <si>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</si>
  <si>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</si>
  <si>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</si>
  <si>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</si>
  <si>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</si>
  <si>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</si>
  <si>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</si>
  <si>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</si>
  <si>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</si>
  <si>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</si>
  <si>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</si>
  <si>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</si>
  <si>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</si>
  <si>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</si>
  <si>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</si>
  <si>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</si>
  <si>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</si>
  <si>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</si>
  <si>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</si>
  <si>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</si>
  <si>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</si>
  <si>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</si>
  <si>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</si>
  <si>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</si>
  <si>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</si>
  <si>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</si>
  <si>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</si>
  <si>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</si>
  <si>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</si>
  <si>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</si>
  <si>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</si>
  <si>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</si>
  <si>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</si>
  <si>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</si>
  <si>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</si>
  <si>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</si>
  <si>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</si>
  <si>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</si>
  <si>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</si>
  <si>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</si>
  <si>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</si>
  <si>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</si>
  <si>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</si>
  <si>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</si>
  <si>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</si>
  <si>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</si>
  <si>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</si>
  <si>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</si>
  <si>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</si>
  <si>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</si>
  <si>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</si>
  <si>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</si>
  <si>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</si>
  <si>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</si>
  <si>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</si>
  <si>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</si>
  <si>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</si>
  <si>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</si>
  <si>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</si>
  <si>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</si>
  <si>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</si>
  <si>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</si>
  <si>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</si>
  <si>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</si>
  <si>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</si>
  <si>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</si>
  <si>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</si>
  <si>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</si>
  <si>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</si>
  <si>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</si>
  <si>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</si>
  <si>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</si>
  <si>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</si>
  <si>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</si>
  <si>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</si>
  <si>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</si>
  <si>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</si>
  <si>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</si>
  <si>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</si>
  <si>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</si>
  <si>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</si>
  <si>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</si>
  <si>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</si>
  <si>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</si>
  <si>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</si>
  <si>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</si>
  <si>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</si>
  <si>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</si>
  <si>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</si>
  <si>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</si>
  <si>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</si>
  <si>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</si>
  <si>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</si>
  <si>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</si>
  <si>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</si>
  <si>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</si>
  <si>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</si>
  <si>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</si>
  <si>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</si>
  <si>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</si>
  <si>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</si>
  <si>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</si>
  <si>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</si>
  <si>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</si>
  <si>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</si>
  <si>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</si>
  <si>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</si>
  <si>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</si>
  <si>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</si>
  <si>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</si>
  <si>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</si>
  <si>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</si>
  <si>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</si>
  <si>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</si>
  <si>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</si>
  <si>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</si>
  <si>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</si>
  <si>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</si>
  <si>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</si>
  <si>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</si>
  <si>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</si>
  <si>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</si>
  <si>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</si>
  <si>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</si>
  <si>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</si>
  <si>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</si>
  <si>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</si>
  <si>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</si>
  <si>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</si>
  <si>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</si>
  <si>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</si>
  <si>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</si>
  <si>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</si>
  <si>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</si>
  <si>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</si>
  <si>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</si>
  <si>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</si>
  <si>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</si>
  <si>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</si>
  <si>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</si>
  <si>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</si>
  <si>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</si>
  <si>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</si>
  <si>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</si>
  <si>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</si>
  <si>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</si>
  <si>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</si>
  <si>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</si>
  <si>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</si>
  <si>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</si>
  <si>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</si>
  <si>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</si>
  <si>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</si>
  <si>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</si>
  <si>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</si>
  <si>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</si>
  <si>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</si>
  <si>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</si>
  <si>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</si>
  <si>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</si>
  <si>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</si>
  <si>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</si>
  <si>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</si>
  <si>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</si>
  <si>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</si>
  <si>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</si>
  <si>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</si>
  <si>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</si>
  <si>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</si>
  <si>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</si>
  <si>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</si>
  <si>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</si>
  <si>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</si>
  <si>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</si>
  <si>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</si>
  <si>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</si>
  <si>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</si>
  <si>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</si>
  <si>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</si>
  <si>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</si>
  <si>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</si>
  <si>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</si>
  <si>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</si>
  <si>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</si>
  <si>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</si>
  <si>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</si>
  <si>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</si>
  <si>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</si>
  <si>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</si>
  <si>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</si>
  <si>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</si>
  <si>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</si>
  <si>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</si>
  <si>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</si>
  <si>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</si>
  <si>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</si>
  <si>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</si>
  <si>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</si>
  <si>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</si>
  <si>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</si>
  <si>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</si>
  <si>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</si>
  <si>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</si>
  <si>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</si>
  <si>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</si>
  <si>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</si>
  <si>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</si>
  <si>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</si>
  <si>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</si>
  <si>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</si>
  <si>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</si>
  <si>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</si>
  <si>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</si>
  <si>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</si>
  <si>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</si>
  <si>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</si>
  <si>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</si>
  <si>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</si>
  <si>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</si>
  <si>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</si>
  <si>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</si>
  <si>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</si>
  <si>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</si>
  <si>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</si>
  <si>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</si>
  <si>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</si>
  <si>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</si>
  <si>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</si>
  <si>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</si>
  <si>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</si>
  <si>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</si>
  <si>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</si>
  <si>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</si>
  <si>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</si>
  <si>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</si>
  <si>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</si>
  <si>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</si>
  <si>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</si>
  <si>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</si>
  <si>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</si>
  <si>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</si>
  <si>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</si>
  <si>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</si>
  <si>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</si>
  <si>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</si>
  <si>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</si>
  <si>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</si>
  <si>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</si>
  <si>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</si>
  <si>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</si>
  <si>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</si>
  <si>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</si>
  <si>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</si>
  <si>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</si>
  <si>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</si>
  <si>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</si>
  <si>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</si>
  <si>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</si>
  <si>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</si>
  <si>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</si>
  <si>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</si>
  <si>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</si>
  <si>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</si>
  <si>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</si>
  <si>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</si>
  <si>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</si>
  <si>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</si>
  <si>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</si>
  <si>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</si>
  <si>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</si>
  <si>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</si>
  <si>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</si>
  <si>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</si>
  <si>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</si>
  <si>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</si>
  <si>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</si>
  <si>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</si>
  <si>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</si>
  <si>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</si>
  <si>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</si>
  <si>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</si>
  <si>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</si>
  <si>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</si>
  <si>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</si>
  <si>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</si>
  <si>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</si>
  <si>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</si>
  <si>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</si>
  <si>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</si>
  <si>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</si>
  <si>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</si>
  <si>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</si>
  <si>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</si>
  <si>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</si>
  <si>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</si>
  <si>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</si>
  <si>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</si>
  <si>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</si>
  <si>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</si>
  <si>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</si>
  <si>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</si>
  <si>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</si>
  <si>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</si>
  <si>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</si>
  <si>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</si>
  <si>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</si>
  <si>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</si>
  <si>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</si>
  <si>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</si>
  <si>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</si>
  <si>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</si>
  <si>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</si>
  <si>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</si>
  <si>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</si>
  <si>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</si>
  <si>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</si>
  <si>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</si>
  <si>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</si>
  <si>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</si>
  <si>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</si>
  <si>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</si>
  <si>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</si>
  <si>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</si>
  <si>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</si>
  <si>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</si>
  <si>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</si>
  <si>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</si>
  <si>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</si>
  <si>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</si>
  <si>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</si>
  <si>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</si>
  <si>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</si>
  <si>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</si>
  <si>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</si>
  <si>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</si>
  <si>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</si>
  <si>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</si>
  <si>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</si>
  <si>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</si>
  <si>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</si>
  <si>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</si>
  <si>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</si>
  <si>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</si>
  <si>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</si>
  <si>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</si>
  <si>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</si>
  <si>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</si>
  <si>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</si>
  <si>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</si>
  <si>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</si>
  <si>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</si>
  <si>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</si>
  <si>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</si>
  <si>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</si>
  <si>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</si>
  <si>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</si>
  <si>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</si>
  <si>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</si>
  <si>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</si>
  <si>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</si>
  <si>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</si>
  <si>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</si>
  <si>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</si>
  <si>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</si>
  <si>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</si>
  <si>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</si>
  <si>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</si>
  <si>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</si>
  <si>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</si>
  <si>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</si>
  <si>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</si>
  <si>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</si>
  <si>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</si>
  <si>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</si>
  <si>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</si>
  <si>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</si>
  <si>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</si>
  <si>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</si>
  <si>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</si>
  <si>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</si>
  <si>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</si>
  <si>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</si>
  <si>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</si>
  <si>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</si>
  <si>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</si>
  <si>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</si>
  <si>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</si>
  <si>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</si>
  <si>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</si>
  <si>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</si>
  <si>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</si>
  <si>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</si>
  <si>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</si>
  <si>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</si>
  <si>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</si>
  <si>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</si>
  <si>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</si>
  <si>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</si>
  <si>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</si>
  <si>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</si>
  <si>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</si>
  <si>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</si>
  <si>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</si>
  <si>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</si>
  <si>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</si>
  <si>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</si>
  <si>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</si>
  <si>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</si>
  <si>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</si>
  <si>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</si>
  <si>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</si>
  <si>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</si>
  <si>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</si>
  <si>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</si>
  <si>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</si>
  <si>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</si>
  <si>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</si>
  <si>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</si>
  <si>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</si>
  <si>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</si>
  <si>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</si>
  <si>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</si>
  <si>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</si>
  <si>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</si>
  <si>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</si>
  <si>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</si>
  <si>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</si>
  <si>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</si>
  <si>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</si>
  <si>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</si>
  <si>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</si>
  <si>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</si>
  <si>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</si>
  <si>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</si>
  <si>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</si>
  <si>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</si>
  <si>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</si>
  <si>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</si>
  <si>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</si>
  <si>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</si>
  <si>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</si>
  <si>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</si>
  <si>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</si>
  <si>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</si>
  <si>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</si>
  <si>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</si>
  <si>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</si>
  <si>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</si>
  <si>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</si>
  <si>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</si>
  <si>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</si>
  <si>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</si>
  <si>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</si>
  <si>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</si>
  <si>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</si>
  <si>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</si>
  <si>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</si>
  <si>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</si>
  <si>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</si>
  <si>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</si>
  <si>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</si>
  <si>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</si>
  <si>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</si>
  <si>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</si>
  <si>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</si>
  <si>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</si>
  <si>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</si>
  <si>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</si>
  <si>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</si>
  <si>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</si>
  <si>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</si>
  <si>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</si>
  <si>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</si>
  <si>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</si>
  <si>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</si>
  <si>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</si>
  <si>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</si>
  <si>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</si>
  <si>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</si>
  <si>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</si>
  <si>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</si>
  <si>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</si>
  <si>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</si>
  <si>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</si>
  <si>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</si>
  <si>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</si>
  <si>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</si>
  <si>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</si>
  <si>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</si>
  <si>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</si>
  <si>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</si>
  <si>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</si>
  <si>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</si>
  <si>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</si>
  <si>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</si>
  <si>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</si>
  <si>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</si>
  <si>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</si>
  <si>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</si>
  <si>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</si>
  <si>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</si>
  <si>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</si>
  <si>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</si>
  <si>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</si>
  <si>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</si>
  <si>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</si>
  <si>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</si>
  <si>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</si>
  <si>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</si>
  <si>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</si>
  <si>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</si>
  <si>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</si>
  <si>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</si>
  <si>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</si>
  <si>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</si>
  <si>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</si>
  <si>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</si>
  <si>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</si>
  <si>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</si>
  <si>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</si>
  <si>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</si>
  <si>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</si>
  <si>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</si>
  <si>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</si>
  <si>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</si>
  <si>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</si>
  <si>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</si>
  <si>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</si>
  <si>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</si>
  <si>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</si>
  <si>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</si>
  <si>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</si>
  <si>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</si>
  <si>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</si>
  <si>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</si>
  <si>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</si>
  <si>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</si>
  <si>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</si>
  <si>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</si>
  <si>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</si>
  <si>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</si>
  <si>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</si>
  <si>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</si>
  <si>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</si>
  <si>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</si>
  <si>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</si>
  <si>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</si>
  <si>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</si>
  <si>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</si>
  <si>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</si>
  <si>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</si>
  <si>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</si>
  <si>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</si>
  <si>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</si>
  <si>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</si>
  <si>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</si>
  <si>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</si>
  <si>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</si>
  <si>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</si>
  <si>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</si>
  <si>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</si>
  <si>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</si>
  <si>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</si>
  <si>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</si>
  <si>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</si>
  <si>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</si>
  <si>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</si>
  <si>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</si>
  <si>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</si>
  <si>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</si>
  <si>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</si>
  <si>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</si>
  <si>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</si>
  <si>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</si>
  <si>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</si>
  <si>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</si>
  <si>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</si>
  <si>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</si>
  <si>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</si>
  <si>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</si>
  <si>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</si>
  <si>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</si>
  <si>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</si>
  <si>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</si>
  <si>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</si>
  <si>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</si>
  <si>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</si>
  <si>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</si>
  <si>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</si>
  <si>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</si>
  <si>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</si>
  <si>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</si>
  <si>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</si>
  <si>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</si>
  <si>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</si>
  <si>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</si>
  <si>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</si>
  <si>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</si>
  <si>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</si>
  <si>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</si>
  <si>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</si>
  <si>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</si>
  <si>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</si>
  <si>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</si>
  <si>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</si>
  <si>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</si>
  <si>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</si>
  <si>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</si>
  <si>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</si>
  <si>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</si>
  <si>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</si>
  <si>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</si>
  <si>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</si>
  <si>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</si>
  <si>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</si>
  <si>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</si>
  <si>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</si>
  <si>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</si>
  <si>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</si>
  <si>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</si>
  <si>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</si>
  <si>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</si>
  <si>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</si>
  <si>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</si>
  <si>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</si>
  <si>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</si>
  <si>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</si>
  <si>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</si>
  <si>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</si>
  <si>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</si>
  <si>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</si>
  <si>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</si>
  <si>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</si>
  <si>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</si>
  <si>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</si>
  <si>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</si>
  <si>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</si>
  <si>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</si>
  <si>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</si>
  <si>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</si>
  <si>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</si>
  <si>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</si>
  <si>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</si>
  <si>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</si>
  <si>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</si>
  <si>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</si>
  <si>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</si>
  <si>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</si>
  <si>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</si>
  <si>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</si>
  <si>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</si>
  <si>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</si>
  <si>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</si>
  <si>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</si>
  <si>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</si>
  <si>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</si>
  <si>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</si>
  <si>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</si>
  <si>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</si>
  <si>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</si>
  <si>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</si>
  <si>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</si>
  <si>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</si>
  <si>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</si>
  <si>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</si>
  <si>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</si>
  <si>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</si>
  <si>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</si>
  <si>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</si>
  <si>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</si>
  <si>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</si>
  <si>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</si>
  <si>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</si>
  <si>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</si>
  <si>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</si>
  <si>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</si>
  <si>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</si>
  <si>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</si>
  <si>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</si>
  <si>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</si>
  <si>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</si>
  <si>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</si>
  <si>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</si>
  <si>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</si>
  <si>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</si>
  <si>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</si>
  <si>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</si>
  <si>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</si>
  <si>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</si>
  <si>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</si>
  <si>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</si>
  <si>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</si>
  <si>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</si>
  <si>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</si>
  <si>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</si>
  <si>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</si>
  <si>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</si>
  <si>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</si>
  <si>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</si>
  <si>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</si>
  <si>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</si>
  <si>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</si>
  <si>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</si>
  <si>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</si>
  <si>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</si>
  <si>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</si>
  <si>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</si>
  <si>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</si>
  <si>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</si>
  <si>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</si>
  <si>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</si>
  <si>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</si>
  <si>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</si>
  <si>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</si>
  <si>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</si>
  <si>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</si>
  <si>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</si>
  <si>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</si>
  <si>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</si>
  <si>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</si>
  <si>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</si>
  <si>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</si>
  <si>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</si>
  <si>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</si>
  <si>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</si>
  <si>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</si>
  <si>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</si>
  <si>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</si>
  <si>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</si>
  <si>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</si>
  <si>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</si>
  <si>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</si>
  <si>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</si>
  <si>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</si>
  <si>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</si>
  <si>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</si>
  <si>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</si>
  <si>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</si>
  <si>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</si>
  <si>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</si>
  <si>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</si>
  <si>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</si>
  <si>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</si>
  <si>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</si>
  <si>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</si>
  <si>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</si>
  <si>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</si>
  <si>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</si>
  <si>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</si>
  <si>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</si>
  <si>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</si>
  <si>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</si>
  <si>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</si>
  <si>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</si>
  <si>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</si>
  <si>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</si>
  <si>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</si>
  <si>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</si>
  <si>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</si>
  <si>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</si>
  <si>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</si>
  <si>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</si>
  <si>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</si>
  <si>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</si>
  <si>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</si>
  <si>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</si>
  <si>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</si>
  <si>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</si>
  <si>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</si>
  <si>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</si>
  <si>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</si>
  <si>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</si>
  <si>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</si>
  <si>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</si>
  <si>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</si>
  <si>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</si>
  <si>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</si>
  <si>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</si>
  <si>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</si>
  <si>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</si>
  <si>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</si>
  <si>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</si>
  <si>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</si>
  <si>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</si>
  <si>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</si>
  <si>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</si>
  <si>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</si>
  <si>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</si>
  <si>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</si>
  <si>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</si>
  <si>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</si>
  <si>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</si>
  <si>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</si>
  <si>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</si>
  <si>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</si>
  <si>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</si>
  <si>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</si>
  <si>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</si>
  <si>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</si>
  <si>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</si>
  <si>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</si>
  <si>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</si>
  <si>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</si>
  <si>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</si>
  <si>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</si>
  <si>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</si>
  <si>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</si>
  <si>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</si>
  <si>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</si>
  <si>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</si>
  <si>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</si>
  <si>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</si>
  <si>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</si>
  <si>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</si>
  <si>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</si>
  <si>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</si>
  <si>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</si>
  <si>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</si>
  <si>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</si>
  <si>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</si>
  <si>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</si>
  <si>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</si>
  <si>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</si>
  <si>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</si>
  <si>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</si>
  <si>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</si>
  <si>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</si>
  <si>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</si>
  <si>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</si>
  <si>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</si>
  <si>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</si>
  <si>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</si>
  <si>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</si>
  <si>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</si>
  <si>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</si>
  <si>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</si>
  <si>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</si>
  <si>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</si>
  <si>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</si>
  <si>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</si>
  <si>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</si>
  <si>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</si>
  <si>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</si>
  <si>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</si>
  <si>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</si>
  <si>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</si>
  <si>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</si>
  <si>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</si>
  <si>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</si>
  <si>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</si>
  <si>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</si>
  <si>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</si>
  <si>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</si>
  <si>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</si>
  <si>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</si>
  <si>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</si>
  <si>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</si>
  <si>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</si>
  <si>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</si>
  <si>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</si>
  <si>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</si>
  <si>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</si>
  <si>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</si>
  <si>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</si>
  <si>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</si>
  <si>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</si>
  <si>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</si>
  <si>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</si>
  <si>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</si>
  <si>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</si>
  <si>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</si>
  <si>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</si>
  <si>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</si>
  <si>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</si>
  <si>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</si>
  <si>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</si>
  <si>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</si>
  <si>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</si>
  <si>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</si>
  <si>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</si>
  <si>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</si>
  <si>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</si>
  <si>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</si>
  <si>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</si>
  <si>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</si>
  <si>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</si>
  <si>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</si>
  <si>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</si>
  <si>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</si>
  <si>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</si>
  <si>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</si>
  <si>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</si>
  <si>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</si>
  <si>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</si>
  <si>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</si>
  <si>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</si>
  <si>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</si>
  <si>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</si>
  <si>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</si>
  <si>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</si>
  <si>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</si>
  <si>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</si>
  <si>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</si>
  <si>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</si>
  <si>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</si>
  <si>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</si>
  <si>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</si>
  <si>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</si>
  <si>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</si>
  <si>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</si>
  <si>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</si>
  <si>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</si>
  <si>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</si>
  <si>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</si>
  <si>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</si>
  <si>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</si>
  <si>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</si>
  <si>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</si>
  <si>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</si>
  <si>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</si>
  <si>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</si>
  <si>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</si>
  <si>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</si>
  <si>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</si>
  <si>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</si>
  <si>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</si>
  <si>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</si>
  <si>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</si>
  <si>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</si>
  <si>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</si>
  <si>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</si>
  <si>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</si>
  <si>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</si>
  <si>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</si>
  <si>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</si>
  <si>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</si>
  <si>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</si>
  <si>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</si>
  <si>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</si>
  <si>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</si>
  <si>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</si>
  <si>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</si>
  <si>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</si>
  <si>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</si>
  <si>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</si>
  <si>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</si>
  <si>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</si>
  <si>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</si>
  <si>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</si>
  <si>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</si>
  <si>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</si>
  <si>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</si>
  <si>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</si>
  <si>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</si>
  <si>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</si>
  <si>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</si>
  <si>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</si>
  <si>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</si>
  <si>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</si>
  <si>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</si>
  <si>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</si>
  <si>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</si>
  <si>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</si>
  <si>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</si>
  <si>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</si>
  <si>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</si>
  <si>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</si>
  <si>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</si>
  <si>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</si>
  <si>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</si>
  <si>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</si>
  <si>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</si>
  <si>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</si>
  <si>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</si>
  <si>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</si>
  <si>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</si>
  <si>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</si>
  <si>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</si>
  <si>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</si>
  <si>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</si>
  <si>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</si>
  <si>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</si>
  <si>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</si>
  <si>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</si>
  <si>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</si>
  <si>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</si>
  <si>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</si>
  <si>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</si>
  <si>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</si>
  <si>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</si>
  <si>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</si>
  <si>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</si>
  <si>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</si>
  <si>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</si>
  <si>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</si>
  <si>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</si>
  <si>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</si>
  <si>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</si>
  <si>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</si>
  <si>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</si>
  <si>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</si>
  <si>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</si>
  <si>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</si>
  <si>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</si>
  <si>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</si>
  <si>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</si>
  <si>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</si>
  <si>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</si>
  <si>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</si>
  <si>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</si>
  <si>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</si>
  <si>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</si>
  <si>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</si>
  <si>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</si>
  <si>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</si>
  <si>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</si>
  <si>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</si>
  <si>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</si>
  <si>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</si>
  <si>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</si>
  <si>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</si>
  <si>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</si>
  <si>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</si>
  <si>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</si>
  <si>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</si>
  <si>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</si>
  <si>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</si>
  <si>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</si>
  <si>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</si>
  <si>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</si>
  <si>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</si>
  <si>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</si>
  <si>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</si>
  <si>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</si>
  <si>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</si>
  <si>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</si>
  <si>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</si>
  <si>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</si>
  <si>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</si>
  <si>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</si>
  <si>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</si>
  <si>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</si>
  <si>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</si>
  <si>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</si>
  <si>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</si>
  <si>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</si>
  <si>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</si>
  <si>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</si>
  <si>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</si>
  <si>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</si>
  <si>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</si>
  <si>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</si>
  <si>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</si>
  <si>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</si>
  <si>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</si>
  <si>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</si>
  <si>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</si>
  <si>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</si>
  <si>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</si>
  <si>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</si>
  <si>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</si>
  <si>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</si>
  <si>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</si>
  <si>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</si>
  <si>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</si>
  <si>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</si>
  <si>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</si>
  <si>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</si>
  <si>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</si>
  <si>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</si>
  <si>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</si>
  <si>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</si>
  <si>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</si>
  <si>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</si>
  <si>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</si>
  <si>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</si>
  <si>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</si>
  <si>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</si>
  <si>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</si>
  <si>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</si>
  <si>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</si>
  <si>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</si>
  <si>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</si>
  <si>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</si>
  <si>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</si>
  <si>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</si>
  <si>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</si>
  <si>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</si>
  <si>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</si>
  <si>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</si>
  <si>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</si>
  <si>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</si>
  <si>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</si>
  <si>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</si>
  <si>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</si>
  <si>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</si>
  <si>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</si>
  <si>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</si>
  <si>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</si>
  <si>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</si>
  <si>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</si>
  <si>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</si>
  <si>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</si>
  <si>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</si>
  <si>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</si>
  <si>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</si>
  <si>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</si>
  <si>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</si>
  <si>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</si>
  <si>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</si>
  <si>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</si>
  <si>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</si>
  <si>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</si>
  <si>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</si>
  <si>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</si>
  <si>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</si>
  <si>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</si>
  <si>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</si>
  <si>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</si>
  <si>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</si>
  <si>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</si>
  <si>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</si>
  <si>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</si>
  <si>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</si>
  <si>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</si>
  <si>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</si>
  <si>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</si>
  <si>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</si>
  <si>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</si>
  <si>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</si>
  <si>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</si>
  <si>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</si>
  <si>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</si>
  <si>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</si>
  <si>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</si>
  <si>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</si>
  <si>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</si>
  <si>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</si>
  <si>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</si>
  <si>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</si>
  <si>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</si>
  <si>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</si>
  <si>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</si>
  <si>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</si>
  <si>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</si>
  <si>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</si>
  <si>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</si>
  <si>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</si>
  <si>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</si>
  <si>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</si>
  <si>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</si>
  <si>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</si>
  <si>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</si>
  <si>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</si>
  <si>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</si>
  <si>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</si>
  <si>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</si>
  <si>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</si>
  <si>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</si>
  <si>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</si>
  <si>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</si>
  <si>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</si>
  <si>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</si>
  <si>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</si>
  <si>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</si>
  <si>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</si>
  <si>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</si>
  <si>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</si>
  <si>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</si>
  <si>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</si>
  <si>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</si>
  <si>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</si>
  <si>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</si>
  <si>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</si>
  <si>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</si>
  <si>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</si>
  <si>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</si>
  <si>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</si>
  <si>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</si>
  <si>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</si>
  <si>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</si>
  <si>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</si>
  <si>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</si>
  <si>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</si>
  <si>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</si>
  <si>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</si>
  <si>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</si>
  <si>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</si>
  <si>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</si>
  <si>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</si>
  <si>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</si>
  <si>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</si>
  <si>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</si>
  <si>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</si>
  <si>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</si>
  <si>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</si>
  <si>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</si>
  <si>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</si>
  <si>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</si>
  <si>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</si>
  <si>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</si>
  <si>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</si>
  <si>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</si>
  <si>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</si>
  <si>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</si>
  <si>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</si>
  <si>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</si>
  <si>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</si>
  <si>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</si>
  <si>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</si>
  <si>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</si>
  <si>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</si>
  <si>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</si>
  <si>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</si>
  <si>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</si>
  <si>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</si>
  <si>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</si>
  <si>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</si>
  <si>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</si>
  <si>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</si>
  <si>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</si>
  <si>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</si>
  <si>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</si>
  <si>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</si>
  <si>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</si>
  <si>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</si>
  <si>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</si>
  <si>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</si>
  <si>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</si>
  <si>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</si>
  <si>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</si>
  <si>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</si>
  <si>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</si>
  <si>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</si>
  <si>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</si>
  <si>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</si>
  <si>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</si>
  <si>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</si>
  <si>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</si>
  <si>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</si>
  <si>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</si>
  <si>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</si>
  <si>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</si>
  <si>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</si>
  <si>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</si>
  <si>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</si>
  <si>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</si>
  <si>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</si>
  <si>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</si>
  <si>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</si>
  <si>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</si>
  <si>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</si>
  <si>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</si>
  <si>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</si>
  <si>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</si>
  <si>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</si>
  <si>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</si>
  <si>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</si>
  <si>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</si>
  <si>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</si>
  <si>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</si>
  <si>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</si>
  <si>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</si>
  <si>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</si>
  <si>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</si>
  <si>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</si>
  <si>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</si>
  <si>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</si>
  <si>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</si>
  <si>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</si>
  <si>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</si>
  <si>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</si>
  <si>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</si>
  <si>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</si>
  <si>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</si>
  <si>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</si>
  <si>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</si>
  <si>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</si>
  <si>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</si>
  <si>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</si>
  <si>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</si>
  <si>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</si>
  <si>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</si>
  <si>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</si>
  <si>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</si>
  <si>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</si>
  <si>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</si>
  <si>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</si>
  <si>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</si>
  <si>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</si>
  <si>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</si>
  <si>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</si>
  <si>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</si>
  <si>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</si>
  <si>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</si>
  <si>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</si>
  <si>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</si>
  <si>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</si>
  <si>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</si>
  <si>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</si>
  <si>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</si>
  <si>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</si>
  <si>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</si>
  <si>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</si>
  <si>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</si>
  <si>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</si>
  <si>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</si>
  <si>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</si>
  <si>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</si>
  <si>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</si>
  <si>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</si>
  <si>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</si>
  <si>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</si>
  <si>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</si>
  <si>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</si>
  <si>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</si>
  <si>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</si>
  <si>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</si>
  <si>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</si>
  <si>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</si>
  <si>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</si>
  <si>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</si>
  <si>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</si>
  <si>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</si>
  <si>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</si>
  <si>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</si>
  <si>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</si>
  <si>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</si>
  <si>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</si>
  <si>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</si>
  <si>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</si>
  <si>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</si>
  <si>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</si>
  <si>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</si>
  <si>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</si>
  <si>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</si>
  <si>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</si>
  <si>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</si>
  <si>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</si>
  <si>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</si>
  <si>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</si>
  <si>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</si>
  <si>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</si>
  <si>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</si>
  <si>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</si>
  <si>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</si>
  <si>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</si>
  <si>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</si>
  <si>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</si>
  <si>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</si>
  <si>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</si>
  <si>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</si>
  <si>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</si>
  <si>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</si>
  <si>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</si>
  <si>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</si>
  <si>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</si>
  <si>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</si>
  <si>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</si>
  <si>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</si>
  <si>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</si>
  <si>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</si>
  <si>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</si>
  <si>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</si>
  <si>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</si>
  <si>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</si>
  <si>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</si>
  <si>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</si>
  <si>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</si>
  <si>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</si>
  <si>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</si>
  <si>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</si>
  <si>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</si>
  <si>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</si>
  <si>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</si>
  <si>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</si>
  <si>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</si>
  <si>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</si>
  <si>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</si>
  <si>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</si>
  <si>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</si>
  <si>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</si>
  <si>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</si>
  <si>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</si>
  <si>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</si>
  <si>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</si>
  <si>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</si>
  <si>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</si>
  <si>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</si>
  <si>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</si>
  <si>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</si>
  <si>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</si>
  <si>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</si>
  <si>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</si>
  <si>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</si>
  <si>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</si>
  <si>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</si>
  <si>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</si>
  <si>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</si>
  <si>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</si>
  <si>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</si>
  <si>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</si>
  <si>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</si>
  <si>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</si>
  <si>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</si>
  <si>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</si>
  <si>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</si>
  <si>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</si>
  <si>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</si>
  <si>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</si>
  <si>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</si>
  <si>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</si>
  <si>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</si>
  <si>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</si>
  <si>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</si>
  <si>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</si>
  <si>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</si>
  <si>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</si>
  <si>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</si>
  <si>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</si>
  <si>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</si>
  <si>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</si>
  <si>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</si>
  <si>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</si>
  <si>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</si>
  <si>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</si>
  <si>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</si>
  <si>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</si>
  <si>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</si>
  <si>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</si>
  <si>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</si>
  <si>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</si>
  <si>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</si>
  <si>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</si>
  <si>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</si>
  <si>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</si>
  <si>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</si>
  <si>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</si>
  <si>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</si>
  <si>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</si>
  <si>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</si>
  <si>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</si>
  <si>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</si>
  <si>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</si>
  <si>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</si>
  <si>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</si>
  <si>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</si>
  <si>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</si>
  <si>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</si>
  <si>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</si>
  <si>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</si>
  <si>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</si>
  <si>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</si>
  <si>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</si>
  <si>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</si>
  <si>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</si>
  <si>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</si>
  <si>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</si>
  <si>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</si>
  <si>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</si>
  <si>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</si>
  <si>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</si>
  <si>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</si>
  <si>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</si>
  <si>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</si>
  <si>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</si>
  <si>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</si>
  <si>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</si>
  <si>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</si>
  <si>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</si>
  <si>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</si>
  <si>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</si>
  <si>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</si>
  <si>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</si>
  <si>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</si>
  <si>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</si>
  <si>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</si>
  <si>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</si>
  <si>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</si>
  <si>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</si>
  <si>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</si>
  <si>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</si>
  <si>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</si>
  <si>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</si>
  <si>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</si>
  <si>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</si>
  <si>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</si>
  <si>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</si>
  <si>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</si>
  <si>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</si>
  <si>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</si>
  <si>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</si>
  <si>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</si>
  <si>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</si>
  <si>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</si>
  <si>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</si>
  <si>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</si>
  <si>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</si>
  <si>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</si>
  <si>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</si>
  <si>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</si>
  <si>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</si>
  <si>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</si>
  <si>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</si>
  <si>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</si>
  <si>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</si>
  <si>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</si>
  <si>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</si>
  <si>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</si>
  <si>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</si>
  <si>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</si>
  <si>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</si>
  <si>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</si>
  <si>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</si>
  <si>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</si>
  <si>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</si>
  <si>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</si>
  <si>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</si>
  <si>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</si>
  <si>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</si>
  <si>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</si>
  <si>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</si>
  <si>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</si>
  <si>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</si>
  <si>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</si>
  <si>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</si>
  <si>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</si>
  <si>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</si>
  <si>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</si>
  <si>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</si>
  <si>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</si>
  <si>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</si>
  <si>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</si>
  <si>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</si>
  <si>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</si>
  <si>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</si>
  <si>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</si>
  <si>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</si>
  <si>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</si>
  <si>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</si>
  <si>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</si>
  <si>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</si>
  <si>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</si>
  <si>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</si>
  <si>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</si>
  <si>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</si>
  <si>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</si>
  <si>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</si>
  <si>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</si>
  <si>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</si>
  <si>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</si>
  <si>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</si>
  <si>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</si>
  <si>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</si>
  <si>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</si>
  <si>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</si>
  <si>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</si>
  <si>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</si>
  <si>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</si>
  <si>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</si>
  <si>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</si>
  <si>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</si>
  <si>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</si>
  <si>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</si>
  <si>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</si>
  <si>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</si>
  <si>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</si>
  <si>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</si>
  <si>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</si>
  <si>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</si>
  <si>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</si>
  <si>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</si>
  <si>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</si>
  <si>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</si>
  <si>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</si>
  <si>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</si>
  <si>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</si>
  <si>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</si>
  <si>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</si>
  <si>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</si>
  <si>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</si>
  <si>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</si>
  <si>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</si>
  <si>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</si>
  <si>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</si>
  <si>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</si>
  <si>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</si>
  <si>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</si>
  <si>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</si>
  <si>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</si>
  <si>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</si>
  <si>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</si>
  <si>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</si>
  <si>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</si>
  <si>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</si>
  <si>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</si>
  <si>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</si>
  <si>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</si>
  <si>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</si>
  <si>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</si>
  <si>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</si>
  <si>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</si>
  <si>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</si>
  <si>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</si>
  <si>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</si>
  <si>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</si>
  <si>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</si>
  <si>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</si>
  <si>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</si>
  <si>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</si>
  <si>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</si>
  <si>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</si>
  <si>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</si>
  <si>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</si>
  <si>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</si>
  <si>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</si>
  <si>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</si>
  <si>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</si>
  <si>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</si>
  <si>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</si>
  <si>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</si>
  <si>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</si>
  <si>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</si>
  <si>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</si>
  <si>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</si>
  <si>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</si>
  <si>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</si>
  <si>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</si>
  <si>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</si>
  <si>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</si>
  <si>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</si>
  <si>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</si>
  <si>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</si>
  <si>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</si>
  <si>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</si>
  <si>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</si>
  <si>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</si>
  <si>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</si>
  <si>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</si>
  <si>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</si>
  <si>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</si>
  <si>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</si>
  <si>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</si>
  <si>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</si>
  <si>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</si>
  <si>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</si>
  <si>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</si>
  <si>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</si>
  <si>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</si>
  <si>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</si>
  <si>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</si>
  <si>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</si>
  <si>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</si>
  <si>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</si>
  <si>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</si>
  <si>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</si>
  <si>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</si>
  <si>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</si>
  <si>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</si>
  <si>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</si>
  <si>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</si>
  <si>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</si>
  <si>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</si>
  <si>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</si>
  <si>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</si>
  <si>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</si>
  <si>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</si>
  <si>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</si>
  <si>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</si>
  <si>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</si>
  <si>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</si>
  <si>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</si>
  <si>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</si>
  <si>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</si>
  <si>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</si>
  <si>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</si>
  <si>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</si>
  <si>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</si>
  <si>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</si>
  <si>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</si>
  <si>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</si>
  <si>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</si>
  <si>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</si>
  <si>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</si>
  <si>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</si>
  <si>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</si>
  <si>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</si>
  <si>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</si>
  <si>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</si>
  <si>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</si>
  <si>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</si>
  <si>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</si>
  <si>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</si>
  <si>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</si>
  <si>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</si>
  <si>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</si>
  <si>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</si>
  <si>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</si>
  <si>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</si>
  <si>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</si>
  <si>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</si>
  <si>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</si>
  <si>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</si>
  <si>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</si>
  <si>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</si>
  <si>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</si>
  <si>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</si>
  <si>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</si>
  <si>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</si>
  <si>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</si>
  <si>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</si>
  <si>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</si>
  <si>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</si>
  <si>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</si>
  <si>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</si>
  <si>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</si>
  <si>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</si>
  <si>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</si>
  <si>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</si>
  <si>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</si>
  <si>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</si>
  <si>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</si>
  <si>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</si>
  <si>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</si>
  <si>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</si>
  <si>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</si>
  <si>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</si>
  <si>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</si>
  <si>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</si>
  <si>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</si>
  <si>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</si>
  <si>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</si>
  <si>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</si>
  <si>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</si>
  <si>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</si>
  <si>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</si>
  <si>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</si>
  <si>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</si>
  <si>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</si>
  <si>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</si>
  <si>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</si>
  <si>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</si>
  <si>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</si>
  <si>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</si>
  <si>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</si>
  <si>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</si>
  <si>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</si>
  <si>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</si>
  <si>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</si>
  <si>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</si>
  <si>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</si>
  <si>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</si>
  <si>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</si>
  <si>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</si>
  <si>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</si>
  <si>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</si>
  <si>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</si>
  <si>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</si>
  <si>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</si>
  <si>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</si>
  <si>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</si>
  <si>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</si>
  <si>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</si>
  <si>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</si>
  <si>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</si>
  <si>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</si>
  <si>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</si>
  <si>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</si>
  <si>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</si>
  <si>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</si>
  <si>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</si>
  <si>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</si>
  <si>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</si>
  <si>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</si>
  <si>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</si>
  <si>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</si>
  <si>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</si>
  <si>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</si>
  <si>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</si>
  <si>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</si>
  <si>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</si>
  <si>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</si>
  <si>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</si>
  <si>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</si>
  <si>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</si>
  <si>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</si>
  <si>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</si>
  <si>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</si>
  <si>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</si>
  <si>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</si>
  <si>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</si>
  <si>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</si>
  <si>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</si>
  <si>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</si>
  <si>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</si>
  <si>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</si>
  <si>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</si>
  <si>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</si>
  <si>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</si>
  <si>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</si>
  <si>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</si>
  <si>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</si>
  <si>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</si>
  <si>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</si>
  <si>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</si>
  <si>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</si>
  <si>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</si>
  <si>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</si>
  <si>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</si>
  <si>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</si>
  <si>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</si>
  <si>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</si>
  <si>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</si>
  <si>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</si>
  <si>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</si>
  <si>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</si>
  <si>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</si>
  <si>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</si>
  <si>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</si>
  <si>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</si>
  <si>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</si>
  <si>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</si>
  <si>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</si>
  <si>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</si>
  <si>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</si>
  <si>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</si>
  <si>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</si>
  <si>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</si>
  <si>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</si>
  <si>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</si>
  <si>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</si>
  <si>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</si>
  <si>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</si>
  <si>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</si>
  <si>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</si>
  <si>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</si>
  <si>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</si>
  <si>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</si>
  <si>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</si>
  <si>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</si>
  <si>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</si>
  <si>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</si>
  <si>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</si>
  <si>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</si>
  <si>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</si>
  <si>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</si>
  <si>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</si>
  <si>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</si>
  <si>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</si>
  <si>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</si>
  <si>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</si>
  <si>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</si>
  <si>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</si>
  <si>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</si>
  <si>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</si>
  <si>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</si>
  <si>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</si>
  <si>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</si>
  <si>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</si>
  <si>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</si>
  <si>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</si>
  <si>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</si>
  <si>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</si>
  <si>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</si>
  <si>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</si>
  <si>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</si>
  <si>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</si>
  <si>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</si>
  <si>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</si>
  <si>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</si>
  <si>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</si>
  <si>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</si>
  <si>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</si>
  <si>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</si>
  <si>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</si>
  <si>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</si>
  <si>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</si>
  <si>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</si>
  <si>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</si>
  <si>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</si>
  <si>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</si>
  <si>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</si>
  <si>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</si>
  <si>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</si>
  <si>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</si>
  <si>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</si>
  <si>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</si>
  <si>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</si>
  <si>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</si>
  <si>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</si>
  <si>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</si>
  <si>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</si>
  <si>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</si>
  <si>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</si>
  <si>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</si>
  <si>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</si>
  <si>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</si>
  <si>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</si>
  <si>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</si>
  <si>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</si>
  <si>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</si>
  <si>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</si>
  <si>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</si>
  <si>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</si>
  <si>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</si>
  <si>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</si>
  <si>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</si>
  <si>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</si>
  <si>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</si>
  <si>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</si>
  <si>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</si>
  <si>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</si>
  <si>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</si>
  <si>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</si>
  <si>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</si>
  <si>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</si>
  <si>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</si>
  <si>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</si>
  <si>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</si>
  <si>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</si>
  <si>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</si>
  <si>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</si>
  <si>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</si>
  <si>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</si>
  <si>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</si>
  <si>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</si>
  <si>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</si>
  <si>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</si>
  <si>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</si>
  <si>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</si>
  <si>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</si>
  <si>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</si>
  <si>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</si>
  <si>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</si>
  <si>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</si>
  <si>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</si>
  <si>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</si>
  <si>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</si>
  <si>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</si>
  <si>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</si>
  <si>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</si>
  <si>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</si>
  <si>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</si>
  <si>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</si>
  <si>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</si>
  <si>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</si>
  <si>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</si>
  <si>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</si>
  <si>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</si>
  <si>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</si>
  <si>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</si>
  <si>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</si>
  <si>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</si>
  <si>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</si>
  <si>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</si>
  <si>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</si>
  <si>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</si>
  <si>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</si>
  <si>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</si>
  <si>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</si>
  <si>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</si>
  <si>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</si>
  <si>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</si>
  <si>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</si>
  <si>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</si>
  <si>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</si>
  <si>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</si>
  <si>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</si>
  <si>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</si>
  <si>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</si>
  <si>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</si>
  <si>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</si>
  <si>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</si>
  <si>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</si>
  <si>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</si>
  <si>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</si>
  <si>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</si>
  <si>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</si>
  <si>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</si>
  <si>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</si>
  <si>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</si>
  <si>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</si>
  <si>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</si>
  <si>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</si>
  <si>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</si>
  <si>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</si>
  <si>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</si>
  <si>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</si>
  <si>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</si>
  <si>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</si>
  <si>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</si>
  <si>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</si>
  <si>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</si>
  <si>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</si>
  <si>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</si>
  <si>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</si>
  <si>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</si>
  <si>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</si>
  <si>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</si>
  <si>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</si>
  <si>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</si>
  <si>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</si>
  <si>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</si>
  <si>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</si>
  <si>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</si>
  <si>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</si>
  <si>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</si>
  <si>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</si>
  <si>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</si>
  <si>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</si>
  <si>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</si>
  <si>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</si>
  <si>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</si>
  <si>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</si>
  <si>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</si>
  <si>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</si>
  <si>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</si>
  <si>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</si>
  <si>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</si>
  <si>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</si>
  <si>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</si>
  <si>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</si>
  <si>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</si>
  <si>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</si>
  <si>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</si>
  <si>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</si>
  <si>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</si>
  <si>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</si>
  <si>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</si>
  <si>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</si>
  <si>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</si>
  <si>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</si>
  <si>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</si>
  <si>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</si>
  <si>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</si>
  <si>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</si>
  <si>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</si>
  <si>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</si>
  <si>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</si>
  <si>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</si>
  <si>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</si>
  <si>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</si>
  <si>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</si>
  <si>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</si>
  <si>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</si>
  <si>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</si>
  <si>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</si>
  <si>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</si>
  <si>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</si>
  <si>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</si>
  <si>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</si>
  <si>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</si>
  <si>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</si>
  <si>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</si>
  <si>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</si>
  <si>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</si>
  <si>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</si>
  <si>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</si>
  <si>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</si>
  <si>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</si>
  <si>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</si>
  <si>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</si>
  <si>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</si>
  <si>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</si>
  <si>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</si>
  <si>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</si>
  <si>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</si>
  <si>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</si>
  <si>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</si>
  <si>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</si>
  <si>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</si>
  <si>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</si>
  <si>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</si>
  <si>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</si>
  <si>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</si>
  <si>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</si>
  <si>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</si>
  <si>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</si>
  <si>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</si>
  <si>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</si>
  <si>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</si>
  <si>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</si>
  <si>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</si>
  <si>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</si>
  <si>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</si>
  <si>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</si>
  <si>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</si>
  <si>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</si>
  <si>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</si>
  <si>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</si>
  <si>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</si>
  <si>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</si>
  <si>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</si>
  <si>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</si>
  <si>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</si>
  <si>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</si>
  <si>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</si>
  <si>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</si>
  <si>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</si>
  <si>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</si>
  <si>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</si>
  <si>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</si>
  <si>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</si>
  <si>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</si>
  <si>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</si>
  <si>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</si>
  <si>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</si>
  <si>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</si>
  <si>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</si>
  <si>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</si>
  <si>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</si>
  <si>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</si>
  <si>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</si>
  <si>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</si>
  <si>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</si>
  <si>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</si>
  <si>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</si>
  <si>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</si>
  <si>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</si>
  <si>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</si>
  <si>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</si>
  <si>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</si>
  <si>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</si>
  <si>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</si>
  <si>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</si>
  <si>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</si>
  <si>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</si>
  <si>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</si>
  <si>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</si>
  <si>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</si>
  <si>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</si>
  <si>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</si>
  <si>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</si>
  <si>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</si>
  <si>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</si>
  <si>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</si>
  <si>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</si>
  <si>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</si>
  <si>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</si>
  <si>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</si>
  <si>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</si>
  <si>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</si>
  <si>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</si>
  <si>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</si>
  <si>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</si>
  <si>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</si>
  <si>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</si>
  <si>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</si>
  <si>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</si>
  <si>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</si>
  <si>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</si>
  <si>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</si>
  <si>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</si>
  <si>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</si>
  <si>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</si>
  <si>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</si>
  <si>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</si>
  <si>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</si>
  <si>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</si>
  <si>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</si>
  <si>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</si>
  <si>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</si>
  <si>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</si>
  <si>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</si>
  <si>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</si>
  <si>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</si>
  <si>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</si>
  <si>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</si>
  <si>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</si>
  <si>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</si>
  <si>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</si>
  <si>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</si>
  <si>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</si>
  <si>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</si>
  <si>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</si>
  <si>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</si>
  <si>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</si>
  <si>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</si>
  <si>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</si>
  <si>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</si>
  <si>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</si>
  <si>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</si>
  <si>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</si>
  <si>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</si>
  <si>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</si>
  <si>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</si>
  <si>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</si>
  <si>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</si>
  <si>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</si>
  <si>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</si>
  <si>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</si>
  <si>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</si>
  <si>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</si>
  <si>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</si>
  <si>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</si>
  <si>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</si>
  <si>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</si>
  <si>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</si>
  <si>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</si>
  <si>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</si>
  <si>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</si>
  <si>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</si>
  <si>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</si>
  <si>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</si>
  <si>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</si>
  <si>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</si>
  <si>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</si>
  <si>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</si>
  <si>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</si>
  <si>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</si>
  <si>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</si>
  <si>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</si>
  <si>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</si>
  <si>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</si>
  <si>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</si>
  <si>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</si>
  <si>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</si>
  <si>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</si>
  <si>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</si>
  <si>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</si>
  <si>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</si>
  <si>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</si>
  <si>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</si>
  <si>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</si>
  <si>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</si>
  <si>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</si>
  <si>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</si>
  <si>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</si>
  <si>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</si>
  <si>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</si>
  <si>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</si>
  <si>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</si>
  <si>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</si>
  <si>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</si>
  <si>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</si>
  <si>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</si>
  <si>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</si>
  <si>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</si>
  <si>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</si>
  <si>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</si>
  <si>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</si>
  <si>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</si>
  <si>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</si>
  <si>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</si>
  <si>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</si>
  <si>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</si>
  <si>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</si>
  <si>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</si>
  <si>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</si>
  <si>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</si>
  <si>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</si>
  <si>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</si>
  <si>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</si>
  <si>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</si>
  <si>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</si>
  <si>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</si>
  <si>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</si>
  <si>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</si>
  <si>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</si>
  <si>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</si>
  <si>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</si>
  <si>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</si>
  <si>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</si>
  <si>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</si>
  <si>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</si>
  <si>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</si>
  <si>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</si>
  <si>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</si>
  <si>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</si>
  <si>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</si>
  <si>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</si>
  <si>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</si>
  <si>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</si>
  <si>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</si>
  <si>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</si>
  <si>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</si>
  <si>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</si>
  <si>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</si>
  <si>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</si>
  <si>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</si>
  <si>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</si>
  <si>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</si>
  <si>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</si>
  <si>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</si>
  <si>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</si>
  <si>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</si>
  <si>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</si>
  <si>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</si>
  <si>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</si>
  <si>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</si>
  <si>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</si>
  <si>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</si>
  <si>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</si>
  <si>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</si>
  <si>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</si>
  <si>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</si>
  <si>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</si>
  <si>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</si>
  <si>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</si>
  <si>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</si>
  <si>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</si>
  <si>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</si>
  <si>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</si>
  <si>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</si>
  <si>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</si>
  <si>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</si>
  <si>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</si>
  <si>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</si>
  <si>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</si>
  <si>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</si>
  <si>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</si>
  <si>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</si>
  <si>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</si>
  <si>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</si>
  <si>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</si>
  <si>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</si>
  <si>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</si>
  <si>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</si>
  <si>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</si>
  <si>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</si>
  <si>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</si>
  <si>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</si>
  <si>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</si>
  <si>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</si>
  <si>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</si>
  <si>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</si>
  <si>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</si>
  <si>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</si>
  <si>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</si>
  <si>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</si>
  <si>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</si>
  <si>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</si>
  <si>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</si>
  <si>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</si>
  <si>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</si>
  <si>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</si>
  <si>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</si>
  <si>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</si>
  <si>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</si>
  <si>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</si>
  <si>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</si>
  <si>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</si>
  <si>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</si>
  <si>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</si>
  <si>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</si>
  <si>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</si>
  <si>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</si>
  <si>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</si>
  <si>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</si>
  <si>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</si>
  <si>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</si>
  <si>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</si>
  <si>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</si>
  <si>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</si>
  <si>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</si>
  <si>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</si>
  <si>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</si>
  <si>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</si>
  <si>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</si>
  <si>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</si>
  <si>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</si>
  <si>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</si>
  <si>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</si>
  <si>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</si>
  <si>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</si>
  <si>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</si>
  <si>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</si>
  <si>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</si>
  <si>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</si>
  <si>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</si>
  <si>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</si>
  <si>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</si>
  <si>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</si>
  <si>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</si>
  <si>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</si>
  <si>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</si>
  <si>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</si>
  <si>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</si>
  <si>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</si>
  <si>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</si>
  <si>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</si>
  <si>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</si>
  <si>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</si>
  <si>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</si>
  <si>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</si>
  <si>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</si>
  <si>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</si>
  <si>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</si>
  <si>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</si>
  <si>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</si>
  <si>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</si>
  <si>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</si>
  <si>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</si>
  <si>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</si>
  <si>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</si>
  <si>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</si>
  <si>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</si>
  <si>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</si>
  <si>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</si>
  <si>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</si>
  <si>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</si>
  <si>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</si>
  <si>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</si>
  <si>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</si>
  <si>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</si>
  <si>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</si>
  <si>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</si>
  <si>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</si>
  <si>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</si>
  <si>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</si>
  <si>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</si>
  <si>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</si>
  <si>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</si>
  <si>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</si>
  <si>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</si>
  <si>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</si>
  <si>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</si>
  <si>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</si>
  <si>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</si>
  <si>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</si>
  <si>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</si>
  <si>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</si>
  <si>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</si>
  <si>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</si>
  <si>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</si>
  <si>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</si>
  <si>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</si>
  <si>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</si>
  <si>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</si>
  <si>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</si>
  <si>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</si>
  <si>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</si>
  <si>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</si>
  <si>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</si>
  <si>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</si>
  <si>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</si>
  <si>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</si>
  <si>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</si>
  <si>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</si>
  <si>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</si>
  <si>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</si>
  <si>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</si>
  <si>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</si>
  <si>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</si>
  <si>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</si>
  <si>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</si>
  <si>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</si>
  <si>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</si>
  <si>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</si>
  <si>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</si>
  <si>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</si>
  <si>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</si>
  <si>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</si>
  <si>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</si>
  <si>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</si>
  <si>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</si>
  <si>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</si>
  <si>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</si>
  <si>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</si>
  <si>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</si>
  <si>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</si>
  <si>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</si>
  <si>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</si>
  <si>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</si>
  <si>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</si>
  <si>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</si>
  <si>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</si>
  <si>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</si>
  <si>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</si>
  <si>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</si>
  <si>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</si>
  <si>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</si>
  <si>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</si>
  <si>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</si>
  <si>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</si>
  <si>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</si>
  <si>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</si>
  <si>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</si>
  <si>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</si>
  <si>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</si>
  <si>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</si>
  <si>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</si>
  <si>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</si>
  <si>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</si>
  <si>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</si>
  <si>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</si>
  <si>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</si>
  <si>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</si>
  <si>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</si>
  <si>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</si>
  <si>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</si>
  <si>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</si>
  <si>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</si>
  <si>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</si>
  <si>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</si>
  <si>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</si>
  <si>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</si>
  <si>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</si>
  <si>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</si>
  <si>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</si>
  <si>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</si>
  <si>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</si>
  <si>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</si>
  <si>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</si>
  <si>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</si>
  <si>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</si>
  <si>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</si>
  <si>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</si>
  <si>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</si>
  <si>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</si>
  <si>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</si>
  <si>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</si>
  <si>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</si>
  <si>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</si>
  <si>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</si>
  <si>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</si>
  <si>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</si>
  <si>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</si>
  <si>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</si>
  <si>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</si>
  <si>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</si>
  <si>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</si>
  <si>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</si>
  <si>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</si>
  <si>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</si>
  <si>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</si>
  <si>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</si>
  <si>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</si>
  <si>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</si>
  <si>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</si>
  <si>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</si>
  <si>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</si>
  <si>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</si>
  <si>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</si>
  <si>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</si>
  <si>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</si>
  <si>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</si>
  <si>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</si>
  <si>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</si>
  <si>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</si>
  <si>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</si>
  <si>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</si>
  <si>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</si>
  <si>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</si>
  <si>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</si>
  <si>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</si>
  <si>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</si>
  <si>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</si>
  <si>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</si>
  <si>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</si>
  <si>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</si>
  <si>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</si>
  <si>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</si>
  <si>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</si>
  <si>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</si>
  <si>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</si>
  <si>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</si>
  <si>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</si>
  <si>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</si>
  <si>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</si>
  <si>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</si>
  <si>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</si>
  <si>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</si>
  <si>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</si>
  <si>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</si>
  <si>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</si>
  <si>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</si>
  <si>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</si>
  <si>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</si>
  <si>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</si>
  <si>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</si>
  <si>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</si>
  <si>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</si>
  <si>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</si>
  <si>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</si>
  <si>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</si>
  <si>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</si>
  <si>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</si>
  <si>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</si>
  <si>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</si>
  <si>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</si>
  <si>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</si>
  <si>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</si>
  <si>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</si>
  <si>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</si>
  <si>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</si>
  <si>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</si>
  <si>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</si>
  <si>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</si>
  <si>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</si>
  <si>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</si>
  <si>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</si>
  <si>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</si>
  <si>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</si>
  <si>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</si>
  <si>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</si>
  <si>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</si>
  <si>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</si>
  <si>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</si>
  <si>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</si>
  <si>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</si>
  <si>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</si>
  <si>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</si>
  <si>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</si>
  <si>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</si>
  <si>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</si>
  <si>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</si>
  <si>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</si>
  <si>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</si>
  <si>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</si>
  <si>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</si>
  <si>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</si>
  <si>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</si>
  <si>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</si>
  <si>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</si>
  <si>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</si>
  <si>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</si>
  <si>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</si>
  <si>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</si>
  <si>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</si>
  <si>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</si>
  <si>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</si>
  <si>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</si>
  <si>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</si>
  <si>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</si>
  <si>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</si>
  <si>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</si>
  <si>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</si>
  <si>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</si>
  <si>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</si>
  <si>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</si>
  <si>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</si>
  <si>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</si>
  <si>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</si>
  <si>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</si>
  <si>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</si>
  <si>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</si>
  <si>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</si>
  <si>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</si>
  <si>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</si>
  <si>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</si>
  <si>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</si>
  <si>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</si>
  <si>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</si>
  <si>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</si>
  <si>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</si>
  <si>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</si>
  <si>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</si>
  <si>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</si>
  <si>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</si>
  <si>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</si>
  <si>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</si>
  <si>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</si>
  <si>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</si>
  <si>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</si>
  <si>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</si>
  <si>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</si>
  <si>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</si>
  <si>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</si>
  <si>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</si>
  <si>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</si>
  <si>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</si>
  <si>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</si>
  <si>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</si>
  <si>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</si>
  <si>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</si>
  <si>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</si>
  <si>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</si>
  <si>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</si>
  <si>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</si>
  <si>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</si>
  <si>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</si>
  <si>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</si>
  <si>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</si>
  <si>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</si>
  <si>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</si>
  <si>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</si>
  <si>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</si>
  <si>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</si>
  <si>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</si>
  <si>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</si>
  <si>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</si>
  <si>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</si>
  <si>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</si>
  <si>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</si>
  <si>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</si>
  <si>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</si>
  <si>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</si>
  <si>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</si>
  <si>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</si>
  <si>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</si>
  <si>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</si>
  <si>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</si>
  <si>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</si>
  <si>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</si>
  <si>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</si>
  <si>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</si>
  <si>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</si>
  <si>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</si>
  <si>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</si>
  <si>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</si>
  <si>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</si>
  <si>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</si>
  <si>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</si>
  <si>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</si>
  <si>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</si>
  <si>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</si>
  <si>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</si>
  <si>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</si>
  <si>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</si>
  <si>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</si>
  <si>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</si>
  <si>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</si>
  <si>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</si>
  <si>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</si>
  <si>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</si>
  <si>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</si>
  <si>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</si>
  <si>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</si>
  <si>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</si>
  <si>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</si>
  <si>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</si>
  <si>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</si>
  <si>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</si>
  <si>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</si>
  <si>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</si>
  <si>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</si>
  <si>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</si>
  <si>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</si>
  <si>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</si>
  <si>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</si>
  <si>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</si>
  <si>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</si>
  <si>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</si>
  <si>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</si>
  <si>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</si>
  <si>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</si>
  <si>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</si>
  <si>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</si>
  <si>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</si>
  <si>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</si>
  <si>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</si>
  <si>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</si>
  <si>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</si>
  <si>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</si>
  <si>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</si>
  <si>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</si>
  <si>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</si>
  <si>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</si>
  <si>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</si>
  <si>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</si>
  <si>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</si>
  <si>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</si>
  <si>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</si>
  <si>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</si>
  <si>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</si>
  <si>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</si>
  <si>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</si>
  <si>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</si>
  <si>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</si>
  <si>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</si>
  <si>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</si>
  <si>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</si>
  <si>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</si>
  <si>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</si>
  <si>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</si>
  <si>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</si>
  <si>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</si>
  <si>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</si>
  <si>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</si>
  <si>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</si>
  <si>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</si>
  <si>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</si>
  <si>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</si>
  <si>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</si>
  <si>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</si>
  <si>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</si>
  <si>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</si>
  <si>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</si>
  <si>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</si>
  <si>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</si>
  <si>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</si>
  <si>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</si>
  <si>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</si>
  <si>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</si>
  <si>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</si>
  <si>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</si>
  <si>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</si>
  <si>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</si>
  <si>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</si>
  <si>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</si>
  <si>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</si>
  <si>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</si>
  <si>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</si>
  <si>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</si>
  <si>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</si>
  <si>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</si>
  <si>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</si>
  <si>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</si>
  <si>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</si>
  <si>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</si>
  <si>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</si>
  <si>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</si>
  <si>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</si>
  <si>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</si>
  <si>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</si>
  <si>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</si>
  <si>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</si>
  <si>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</si>
  <si>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</si>
  <si>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</si>
  <si>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</si>
  <si>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</si>
  <si>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</si>
  <si>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</si>
  <si>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</si>
  <si>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</si>
  <si>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</si>
  <si>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</si>
  <si>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</si>
  <si>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</si>
  <si>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</si>
  <si>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</si>
  <si>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</si>
  <si>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</si>
  <si>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</si>
  <si>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</si>
  <si>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</si>
  <si>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</si>
  <si>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</si>
  <si>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</si>
  <si>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</si>
  <si>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</si>
  <si>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</si>
  <si>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</si>
  <si>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</si>
  <si>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</si>
  <si>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</si>
  <si>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</si>
  <si>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</si>
  <si>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</si>
  <si>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</si>
  <si>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</si>
  <si>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</si>
  <si>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</si>
  <si>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</si>
  <si>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</si>
  <si>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</si>
  <si>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</si>
  <si>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</si>
  <si>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</si>
  <si>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</si>
  <si>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</si>
  <si>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</si>
  <si>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</si>
  <si>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</si>
  <si>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</si>
  <si>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</si>
  <si>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</si>
  <si>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</si>
  <si>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</si>
  <si>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</si>
  <si>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</si>
  <si>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</si>
  <si>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</si>
  <si>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</si>
  <si>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</si>
  <si>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</si>
  <si>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</si>
  <si>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</si>
  <si>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</si>
  <si>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</si>
  <si>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</si>
  <si>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</si>
  <si>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</si>
  <si>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</si>
  <si>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</si>
  <si>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</si>
  <si>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</si>
  <si>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</si>
  <si>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</si>
  <si>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</si>
  <si>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</si>
  <si>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</si>
  <si>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</si>
  <si>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</si>
  <si>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</si>
  <si>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</si>
  <si>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</si>
  <si>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</si>
  <si>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</si>
  <si>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</si>
  <si>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</si>
  <si>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</si>
  <si>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</si>
  <si>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</si>
  <si>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</si>
  <si>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</si>
  <si>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</si>
  <si>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</si>
  <si>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</si>
  <si>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</si>
  <si>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</si>
  <si>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</si>
  <si>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</si>
  <si>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</si>
  <si>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</si>
  <si>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</si>
  <si>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</si>
  <si>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</si>
  <si>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</si>
  <si>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</si>
  <si>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</si>
  <si>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</si>
  <si>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</si>
  <si>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</si>
  <si>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</si>
  <si>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</si>
  <si>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</si>
  <si>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</si>
  <si>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</si>
  <si>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</si>
  <si>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</si>
  <si>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</si>
  <si>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</si>
  <si>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</si>
  <si>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</si>
  <si>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</si>
  <si>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</si>
  <si>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</si>
  <si>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</si>
  <si>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</si>
  <si>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</si>
  <si>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</si>
  <si>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</si>
  <si>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</si>
  <si>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</si>
  <si>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</si>
  <si>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</si>
  <si>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</si>
  <si>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</si>
  <si>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</si>
  <si>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</si>
  <si>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</si>
  <si>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</si>
  <si>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</si>
  <si>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</si>
  <si>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</si>
  <si>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</si>
  <si>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</si>
  <si>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</si>
  <si>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</si>
  <si>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</si>
  <si>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</si>
  <si>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</si>
  <si>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</si>
  <si>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</si>
  <si>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</si>
  <si>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</si>
  <si>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</si>
  <si>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</si>
  <si>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</si>
  <si>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</si>
  <si>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</si>
  <si>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</si>
  <si>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</si>
  <si>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</si>
  <si>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</si>
  <si>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</si>
  <si>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</si>
  <si>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</si>
  <si>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</si>
  <si>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</si>
  <si>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</si>
  <si>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</si>
  <si>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</si>
  <si>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</si>
  <si>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</si>
  <si>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</si>
  <si>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</si>
  <si>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</si>
  <si>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</si>
  <si>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</si>
  <si>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</si>
  <si>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</si>
  <si>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</si>
  <si>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</si>
  <si>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</si>
  <si>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</si>
  <si>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</si>
  <si>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</si>
  <si>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</si>
  <si>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</si>
  <si>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</si>
  <si>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</si>
  <si>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</si>
  <si>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</si>
  <si>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</si>
  <si>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</si>
  <si>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</si>
  <si>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</si>
  <si>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</si>
  <si>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</si>
  <si>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</si>
  <si>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</si>
  <si>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</si>
  <si>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</si>
  <si>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</si>
  <si>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</si>
  <si>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</si>
  <si>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</si>
  <si>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</si>
  <si>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</si>
  <si>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</si>
  <si>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</si>
  <si>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</si>
  <si>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</si>
  <si>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</si>
  <si>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</si>
  <si>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</si>
  <si>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</si>
  <si>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</si>
  <si>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</si>
  <si>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</si>
  <si>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</si>
  <si>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</si>
  <si>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</si>
  <si>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</si>
  <si>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</si>
  <si>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</si>
  <si>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</si>
  <si>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</si>
  <si>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</si>
  <si>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</si>
  <si>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</si>
  <si>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</si>
  <si>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</si>
  <si>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</si>
  <si>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</si>
  <si>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</si>
  <si>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</si>
  <si>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</si>
  <si>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</si>
  <si>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</si>
  <si>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</si>
  <si>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</si>
  <si>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</si>
  <si>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</si>
  <si>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</si>
  <si>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</si>
  <si>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</si>
  <si>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</si>
  <si>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</si>
  <si>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</si>
  <si>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</si>
  <si>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</si>
  <si>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</si>
  <si>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</si>
  <si>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</si>
  <si>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</si>
  <si>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</si>
  <si>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</si>
  <si>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</si>
  <si>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</si>
  <si>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</si>
  <si>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</si>
  <si>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</si>
  <si>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</si>
  <si>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</si>
  <si>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</si>
  <si>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</si>
  <si>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</si>
  <si>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</si>
  <si>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</si>
  <si>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</si>
  <si>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</si>
  <si>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</si>
  <si>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</si>
  <si>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</si>
  <si>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</si>
  <si>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</si>
  <si>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</si>
  <si>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</si>
  <si>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</si>
  <si>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</si>
  <si>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</si>
  <si>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</si>
  <si>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</si>
  <si>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</si>
  <si>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</si>
  <si>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</si>
  <si>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</si>
  <si>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</si>
  <si>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</si>
  <si>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</si>
  <si>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</si>
  <si>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</si>
  <si>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</si>
  <si>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</si>
  <si>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</si>
  <si>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</si>
  <si>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</si>
  <si>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</si>
  <si>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</si>
  <si>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</si>
  <si>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</si>
  <si>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</si>
  <si>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</si>
  <si>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</si>
  <si>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</si>
  <si>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</si>
  <si>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</si>
  <si>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</si>
  <si>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</si>
  <si>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</si>
  <si>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</si>
  <si>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</si>
  <si>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</si>
  <si>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</si>
  <si>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</si>
  <si>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</si>
  <si>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</si>
  <si>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</si>
  <si>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</si>
  <si>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</si>
  <si>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</si>
  <si>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</si>
  <si>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</si>
  <si>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</si>
  <si>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</si>
  <si>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</si>
  <si>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</si>
  <si>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</si>
  <si>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</si>
  <si>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</si>
  <si>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</si>
  <si>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</si>
  <si>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</si>
  <si>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</si>
  <si>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</si>
  <si>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</si>
  <si>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</si>
  <si>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</si>
  <si>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</si>
  <si>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</si>
  <si>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</si>
  <si>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</si>
  <si>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</si>
  <si>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</si>
  <si>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</si>
  <si>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</si>
  <si>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</si>
  <si>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</si>
  <si>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</si>
  <si>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</si>
  <si>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</si>
  <si>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</si>
  <si>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</si>
  <si>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</si>
  <si>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</si>
  <si>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</si>
  <si>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</si>
  <si>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</si>
  <si>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</si>
  <si>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</si>
  <si>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</si>
  <si>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</si>
  <si>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</si>
  <si>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</si>
  <si>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</si>
  <si>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</si>
  <si>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</si>
  <si>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</si>
  <si>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</si>
  <si>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</si>
  <si>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</si>
  <si>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</si>
  <si>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</si>
  <si>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</si>
  <si>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</si>
  <si>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</si>
  <si>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</si>
  <si>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</si>
  <si>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</si>
  <si>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</si>
  <si>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</si>
  <si>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</si>
  <si>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</si>
  <si>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</si>
  <si>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</si>
  <si>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</si>
  <si>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</si>
  <si>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</si>
  <si>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</si>
  <si>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</si>
  <si>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</si>
  <si>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</si>
  <si>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</si>
  <si>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</si>
  <si>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</si>
  <si>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</si>
  <si>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</si>
  <si>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</si>
  <si>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</si>
  <si>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</si>
  <si>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</si>
  <si>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</si>
  <si>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</si>
  <si>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</si>
  <si>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</si>
  <si>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</si>
  <si>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</si>
  <si>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</si>
  <si>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</si>
  <si>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</si>
  <si>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</si>
  <si>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</si>
  <si>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</si>
  <si>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</si>
  <si>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</si>
  <si>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</si>
  <si>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</si>
  <si>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</si>
  <si>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</si>
  <si>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</si>
  <si>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</si>
  <si>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</si>
  <si>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</si>
  <si>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</si>
  <si>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</si>
  <si>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</si>
  <si>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</si>
  <si>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</si>
  <si>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</si>
  <si>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</si>
  <si>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</si>
  <si>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</si>
  <si>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</si>
  <si>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</si>
  <si>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</si>
  <si>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</si>
  <si>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</si>
  <si>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</si>
  <si>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</si>
  <si>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</si>
  <si>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</si>
  <si>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</si>
  <si>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</si>
  <si>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</si>
  <si>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</si>
  <si>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</si>
  <si>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</si>
  <si>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</si>
  <si>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</si>
  <si>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</si>
  <si>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</si>
  <si>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</si>
  <si>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</si>
  <si>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</si>
  <si>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</si>
  <si>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</si>
  <si>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</si>
  <si>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</si>
  <si>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</si>
  <si>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</si>
  <si>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</si>
  <si>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</si>
  <si>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</si>
  <si>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</si>
  <si>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</si>
  <si>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</si>
  <si>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</si>
  <si>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</si>
  <si>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</si>
  <si>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</si>
  <si>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</si>
  <si>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</si>
  <si>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</si>
  <si>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</si>
  <si>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</si>
  <si>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</si>
  <si>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</si>
  <si>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</si>
  <si>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</si>
  <si>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</si>
  <si>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</si>
  <si>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</si>
  <si>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</si>
  <si>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</si>
  <si>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</si>
  <si>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</si>
  <si>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</si>
  <si>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</si>
  <si>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</si>
  <si>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</si>
  <si>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</si>
  <si>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</si>
  <si>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</si>
  <si>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</si>
  <si>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</si>
  <si>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</si>
  <si>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</si>
  <si>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</si>
  <si>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</si>
  <si>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</si>
  <si>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</si>
  <si>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</si>
  <si>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</si>
  <si>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</si>
  <si>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</si>
  <si>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</si>
  <si>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</si>
  <si>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</si>
  <si>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</si>
  <si>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</si>
  <si>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</si>
  <si>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</si>
  <si>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</si>
  <si>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</si>
  <si>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</si>
  <si>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</si>
  <si>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</si>
  <si>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</si>
  <si>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</si>
  <si>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</si>
  <si>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</si>
  <si>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</si>
  <si>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</si>
  <si>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</si>
  <si>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</si>
  <si>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</si>
  <si>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</si>
  <si>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</si>
  <si>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</si>
  <si>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</si>
  <si>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</si>
  <si>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</si>
  <si>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</si>
  <si>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</si>
  <si>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</si>
  <si>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</si>
  <si>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</si>
  <si>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</si>
  <si>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</si>
  <si>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</si>
  <si>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</si>
  <si>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</si>
  <si>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</si>
  <si>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</si>
  <si>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</si>
  <si>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</si>
  <si>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</si>
  <si>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</si>
  <si>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</si>
  <si>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</si>
  <si>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</si>
  <si>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</si>
  <si>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</si>
  <si>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</si>
  <si>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</si>
  <si>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</si>
  <si>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</si>
  <si>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</si>
  <si>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</si>
  <si>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</si>
  <si>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</si>
  <si>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</si>
  <si>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</si>
  <si>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</si>
  <si>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</si>
  <si>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</si>
  <si>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</si>
  <si>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</si>
  <si>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</si>
  <si>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</si>
  <si>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</si>
  <si>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</si>
  <si>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</si>
  <si>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</si>
  <si>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</si>
  <si>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</si>
  <si>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</si>
  <si>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</si>
  <si>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</si>
  <si>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</si>
  <si>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</si>
  <si>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</si>
  <si>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</si>
  <si>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</si>
  <si>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</si>
  <si>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</si>
  <si>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</si>
  <si>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</si>
  <si>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</si>
  <si>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</si>
  <si>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</si>
  <si>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</si>
  <si>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</si>
  <si>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</si>
  <si>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</si>
  <si>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</si>
  <si>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</si>
  <si>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</si>
  <si>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</si>
  <si>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</si>
  <si>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</si>
  <si>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</si>
  <si>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</si>
  <si>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</si>
  <si>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</si>
  <si>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</si>
  <si>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</si>
  <si>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</si>
  <si>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</si>
  <si>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</si>
  <si>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</si>
  <si>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</si>
  <si>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</si>
  <si>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</si>
  <si>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</si>
  <si>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</si>
  <si>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</si>
  <si>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</si>
  <si>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</si>
  <si>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</si>
  <si>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</si>
  <si>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</si>
  <si>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</si>
  <si>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</si>
  <si>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</si>
  <si>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</si>
  <si>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</si>
  <si>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</si>
  <si>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</si>
  <si>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</si>
  <si>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</si>
  <si>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</si>
  <si>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</si>
  <si>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</si>
  <si>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</si>
  <si>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</si>
  <si>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</si>
  <si>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</si>
  <si>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</si>
  <si>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</si>
  <si>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</si>
  <si>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</si>
  <si>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</si>
  <si>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</si>
  <si>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</si>
  <si>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</si>
  <si>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</si>
  <si>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</si>
  <si>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</si>
  <si>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</si>
  <si>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</si>
  <si>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</si>
  <si>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</si>
  <si>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</si>
  <si>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</si>
  <si>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</si>
  <si>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</si>
  <si>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</si>
  <si>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</si>
  <si>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</si>
  <si>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</si>
  <si>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</si>
  <si>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</si>
  <si>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</si>
  <si>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</si>
  <si>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</si>
  <si>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</si>
  <si>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</si>
  <si>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</si>
  <si>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</si>
  <si>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</si>
  <si>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</si>
  <si>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</si>
  <si>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</si>
  <si>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</si>
  <si>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</si>
  <si>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</si>
  <si>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</si>
  <si>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</si>
  <si>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</si>
  <si>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</si>
  <si>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</si>
  <si>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</si>
  <si>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</si>
  <si>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</si>
  <si>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</si>
  <si>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</si>
  <si>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</si>
  <si>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</si>
  <si>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</si>
  <si>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</si>
  <si>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</si>
  <si>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</si>
  <si>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</si>
  <si>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</si>
  <si>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</si>
  <si>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</si>
  <si>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</si>
  <si>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</si>
  <si>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</si>
  <si>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</si>
  <si>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</si>
  <si>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</si>
  <si>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</si>
  <si>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</si>
  <si>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</si>
  <si>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</si>
  <si>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</si>
  <si>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</si>
  <si>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</si>
  <si>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</si>
  <si>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</si>
  <si>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</si>
  <si>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</si>
  <si>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</si>
  <si>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</si>
  <si>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</si>
  <si>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</si>
  <si>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</si>
  <si>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</si>
  <si>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</si>
  <si>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</si>
  <si>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</si>
  <si>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</si>
  <si>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</si>
  <si>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</si>
  <si>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</si>
  <si>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</si>
  <si>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</si>
  <si>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</si>
  <si>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</si>
  <si>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</si>
  <si>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</si>
  <si>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</si>
  <si>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</si>
  <si>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</si>
  <si>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</si>
  <si>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</si>
  <si>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</si>
  <si>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</si>
  <si>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</si>
  <si>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</si>
  <si>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</si>
  <si>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</si>
  <si>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</si>
  <si>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</si>
  <si>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</si>
  <si>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</si>
  <si>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</si>
  <si>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</si>
  <si>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</si>
  <si>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</si>
  <si>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</si>
  <si>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</si>
  <si>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</si>
  <si>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</si>
  <si>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</si>
  <si>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</si>
  <si>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</si>
  <si>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</si>
  <si>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</si>
  <si>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</si>
  <si>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</si>
  <si>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</si>
  <si>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</si>
  <si>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</si>
  <si>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</si>
  <si>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</si>
  <si>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</si>
  <si>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</si>
  <si>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</si>
  <si>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</si>
  <si>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</si>
  <si>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</si>
  <si>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</si>
  <si>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</si>
  <si>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</si>
  <si>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</si>
  <si>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</si>
  <si>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</si>
  <si>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</si>
  <si>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</si>
  <si>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</si>
  <si>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</si>
  <si>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</si>
  <si>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</si>
  <si>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</si>
  <si>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</si>
  <si>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</si>
  <si>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</si>
  <si>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</si>
  <si>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</si>
  <si>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</si>
  <si>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</si>
  <si>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</si>
  <si>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</si>
  <si>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</si>
  <si>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</si>
  <si>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</si>
  <si>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</si>
  <si>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</si>
  <si>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</si>
  <si>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</si>
  <si>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</si>
  <si>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</si>
  <si>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</si>
  <si>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</si>
  <si>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</si>
  <si>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</si>
  <si>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</si>
  <si>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</si>
  <si>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</si>
  <si>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</si>
  <si>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</si>
  <si>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</si>
  <si>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</si>
  <si>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</si>
  <si>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</si>
  <si>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</si>
  <si>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</si>
  <si>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</si>
  <si>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</si>
  <si>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</si>
  <si>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</si>
  <si>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</si>
  <si>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</si>
  <si>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</si>
  <si>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</si>
  <si>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</si>
  <si>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</si>
  <si>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</si>
  <si>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</si>
  <si>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</si>
  <si>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</si>
  <si>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</si>
  <si>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</si>
  <si>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</si>
  <si>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</si>
  <si>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</si>
  <si>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</si>
  <si>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</si>
  <si>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</si>
  <si>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</si>
  <si>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</si>
  <si>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</si>
  <si>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</si>
  <si>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</si>
  <si>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</si>
  <si>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</si>
  <si>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</si>
  <si>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</si>
  <si>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</si>
  <si>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</si>
  <si>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</si>
  <si>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</si>
  <si>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</si>
  <si>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</si>
  <si>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</si>
  <si>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</si>
  <si>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</si>
  <si>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</si>
  <si>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</si>
  <si>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</si>
  <si>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</si>
  <si>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</si>
  <si>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</si>
  <si>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</si>
  <si>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</si>
  <si>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</si>
  <si>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</si>
  <si>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</si>
  <si>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</si>
  <si>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</si>
  <si>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</si>
  <si>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</si>
  <si>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</si>
  <si>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</si>
  <si>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</si>
  <si>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</si>
  <si>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</si>
  <si>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</si>
  <si>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</si>
  <si>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</si>
  <si>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</si>
  <si>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</si>
  <si>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</si>
  <si>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</si>
  <si>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</si>
  <si>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</si>
  <si>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</si>
  <si>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</si>
  <si>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</si>
  <si>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</si>
  <si>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</si>
  <si>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</si>
  <si>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</si>
  <si>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</si>
  <si>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</si>
  <si>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</si>
  <si>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</si>
  <si>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</si>
  <si>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</si>
  <si>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</si>
  <si>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</si>
  <si>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</si>
  <si>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</si>
  <si>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</si>
  <si>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</si>
  <si>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</si>
  <si>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</si>
  <si>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</si>
  <si>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</si>
  <si>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</si>
  <si>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</si>
  <si>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</si>
  <si>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</si>
  <si>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</si>
  <si>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</si>
  <si>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</si>
  <si>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</si>
  <si>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</si>
  <si>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</si>
  <si>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</si>
  <si>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</si>
  <si>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</si>
  <si>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</si>
  <si>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</si>
  <si>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</si>
  <si>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</si>
  <si>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</si>
  <si>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</si>
  <si>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</si>
  <si>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</si>
  <si>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</si>
  <si>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</si>
  <si>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</si>
  <si>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</si>
  <si>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</si>
  <si>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</si>
  <si>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</si>
  <si>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</si>
  <si>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</si>
  <si>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</si>
  <si>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</si>
  <si>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</si>
  <si>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</si>
  <si>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</si>
  <si>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</si>
  <si>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</si>
  <si>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</si>
  <si>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</si>
  <si>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</si>
  <si>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</si>
  <si>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</si>
  <si>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</si>
  <si>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</si>
  <si>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</si>
  <si>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</si>
  <si>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</si>
  <si>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</si>
  <si>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</si>
  <si>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</si>
  <si>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</si>
  <si>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</si>
  <si>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</si>
  <si>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</si>
  <si>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</si>
  <si>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</si>
  <si>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</si>
  <si>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</si>
  <si>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</si>
  <si>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</si>
  <si>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</si>
  <si>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</si>
  <si>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</si>
  <si>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</si>
  <si>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</si>
  <si>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</si>
  <si>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</si>
  <si>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</si>
  <si>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</si>
  <si>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</si>
  <si>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</si>
  <si>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</si>
  <si>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</si>
  <si>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</si>
  <si>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</si>
  <si>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</si>
  <si>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</si>
  <si>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</si>
  <si>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</si>
  <si>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</si>
  <si>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</si>
  <si>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</si>
  <si>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</si>
  <si>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</si>
  <si>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</si>
  <si>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</si>
  <si>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</si>
  <si>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</si>
  <si>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</si>
  <si>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</si>
  <si>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</si>
  <si>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</si>
  <si>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</si>
  <si>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</si>
  <si>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</si>
  <si>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</si>
  <si>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</si>
  <si>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</si>
  <si>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</si>
  <si>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</si>
  <si>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</si>
  <si>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</si>
  <si>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</si>
  <si>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</si>
  <si>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</si>
  <si>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</si>
  <si>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</si>
  <si>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</si>
  <si>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</si>
  <si>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</si>
  <si>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</si>
  <si>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</si>
  <si>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</si>
  <si>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</si>
  <si>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</si>
  <si>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</si>
  <si>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</si>
  <si>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</si>
  <si>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</si>
  <si>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</si>
  <si>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</si>
  <si>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</si>
  <si>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</si>
  <si>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</si>
  <si>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</si>
  <si>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</si>
  <si>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</si>
  <si>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</si>
  <si>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</si>
  <si>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</si>
  <si>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</si>
  <si>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</si>
  <si>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</si>
  <si>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</si>
  <si>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</si>
  <si>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</si>
  <si>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</si>
  <si>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</si>
  <si>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</si>
  <si>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</si>
  <si>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</si>
  <si>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</si>
  <si>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</si>
  <si>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</si>
  <si>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</si>
  <si>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</si>
  <si>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</si>
  <si>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</si>
  <si>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</si>
  <si>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</si>
  <si>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</si>
  <si>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</si>
  <si>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</si>
  <si>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</si>
  <si>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</si>
  <si>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</si>
  <si>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</si>
  <si>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</si>
  <si>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</si>
  <si>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</si>
  <si>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</si>
  <si>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</si>
  <si>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</si>
  <si>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</si>
  <si>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</si>
  <si>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</si>
  <si>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</si>
  <si>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</si>
  <si>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</si>
  <si>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</si>
  <si>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</si>
  <si>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</si>
  <si>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</si>
  <si>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</si>
  <si>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</si>
  <si>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</si>
  <si>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</si>
  <si>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</si>
  <si>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</si>
  <si>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</si>
  <si>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</si>
  <si>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</si>
  <si>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</si>
  <si>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</si>
  <si>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</si>
  <si>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</si>
  <si>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</si>
  <si>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</si>
  <si>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HRVATSKA ZAKLADA ZA ZNANOST (52209)</t>
  </si>
  <si>
    <t>SVEUČILIŠTE J. J. STROSSMAYERA U OSIJEKU - GRAĐEVINSKI I ARHITEKTONSKI FAKULTET OSIJEK (2250)</t>
  </si>
  <si>
    <t>OSIJEK, 15.11.2023.</t>
  </si>
  <si>
    <t>Katarina Varnica, dipl.oec.</t>
  </si>
  <si>
    <t>kvarnica@mathos.hr</t>
  </si>
  <si>
    <t>SVEUČULIŠTE U OSIJEKU-FAKULTET PRIMIJENJENE MATEMATIKE I INFORMATIKE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</si>
</sst>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color indexed="8"/>
      <name val="Open Sans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  <xf numFmtId="0" fontId="86" fillId="0" borderId="0" xfId="4" applyFont="1" applyAlignment="1" applyProtection="1">
      <alignment horizontal="center"/>
    </xf>
    <xf numFmtId="0" fontId="86" fillId="0" borderId="46" xfId="4" applyFont="1" applyBorder="1" applyAlignment="1" applyProtection="1">
      <alignment horizontal="center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yperlink" xfId="134" builtinId="8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varnica@math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F13" sqref="F13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  <c r="C1" s="381" t="s">
        <v>5273</v>
      </c>
      <c r="D1" s="381"/>
      <c r="E1" s="381"/>
    </row>
    <row r="2" spans="1:26">
      <c r="C2" s="382"/>
      <c r="D2" s="382"/>
      <c r="E2" s="382"/>
    </row>
    <row r="3" spans="1:26" ht="36.75" customHeight="1" thickBot="1">
      <c r="A3" s="87"/>
      <c r="B3" s="123" t="s">
        <v>263</v>
      </c>
      <c r="C3" s="355"/>
      <c r="D3" s="356"/>
      <c r="E3" s="35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58" t="s">
        <v>5270</v>
      </c>
      <c r="D4" s="359"/>
      <c r="E4" s="360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58" t="s">
        <v>5271</v>
      </c>
      <c r="D5" s="359"/>
      <c r="E5" s="360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58">
        <v>31224831</v>
      </c>
      <c r="D6" s="359"/>
      <c r="E6" s="360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63" t="s">
        <v>5272</v>
      </c>
      <c r="D7" s="359"/>
      <c r="E7" s="360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6" t="s">
        <v>5264</v>
      </c>
      <c r="C9" s="365"/>
      <c r="D9" s="365"/>
      <c r="E9" s="365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6" t="s">
        <v>3</v>
      </c>
      <c r="C11" s="365"/>
      <c r="D11" s="365"/>
      <c r="E11" s="365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1" t="s">
        <v>5073</v>
      </c>
      <c r="C13" s="362"/>
      <c r="D13" s="362"/>
      <c r="E13" s="362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5265</v>
      </c>
      <c r="D15" s="330" t="s">
        <v>5266</v>
      </c>
      <c r="E15" s="330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748313</v>
      </c>
      <c r="D16" s="96">
        <f>+D17+D18</f>
        <v>85429</v>
      </c>
      <c r="E16" s="96">
        <f>+E17+E18</f>
        <v>833742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748313</v>
      </c>
      <c r="D17" s="99">
        <f>+'A.1 PRIHODI'!C41</f>
        <v>85429</v>
      </c>
      <c r="E17" s="99">
        <f>+'A.1 PRIHODI'!C61</f>
        <v>833742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770553</v>
      </c>
      <c r="D19" s="103">
        <f>+D20+D21</f>
        <v>84738</v>
      </c>
      <c r="E19" s="103">
        <f>+E20+E21</f>
        <v>855291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735047</v>
      </c>
      <c r="D20" s="105">
        <f>+'A.2 RASHODI'!C41</f>
        <v>74885</v>
      </c>
      <c r="E20" s="105">
        <f>+'A.2 RASHODI'!C58</f>
        <v>809932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35506</v>
      </c>
      <c r="D21" s="105">
        <f>+'A.2 RASHODI'!C49</f>
        <v>9853</v>
      </c>
      <c r="E21" s="105">
        <f>+'A.2 RASHODI'!C74</f>
        <v>45359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-22240</v>
      </c>
      <c r="D22" s="96">
        <f>+D16-D19</f>
        <v>691</v>
      </c>
      <c r="E22" s="96">
        <f>+E16-E19</f>
        <v>-21549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4"/>
      <c r="C23" s="365"/>
      <c r="D23" s="365"/>
      <c r="E23" s="365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66" t="s">
        <v>5076</v>
      </c>
      <c r="C24" s="365"/>
      <c r="D24" s="365"/>
      <c r="E24" s="365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5265</v>
      </c>
      <c r="D26" s="330" t="s">
        <v>5266</v>
      </c>
      <c r="E26" s="330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632560</v>
      </c>
      <c r="D29" s="104">
        <v>20858</v>
      </c>
      <c r="E29" s="104">
        <v>611011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-610320</v>
      </c>
      <c r="D30" s="108">
        <v>-21549</v>
      </c>
      <c r="E30" s="109">
        <v>-589462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22240</v>
      </c>
      <c r="D31" s="103">
        <f t="shared" ref="D31:E31" si="2">+D27-D28+D29+D30</f>
        <v>-691</v>
      </c>
      <c r="E31" s="103">
        <f t="shared" si="2"/>
        <v>21549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4"/>
      <c r="C32" s="365"/>
      <c r="D32" s="365"/>
      <c r="E32" s="365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67"/>
      <c r="C55" s="368"/>
      <c r="D55" s="368"/>
      <c r="E55" s="368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67"/>
      <c r="C57" s="368"/>
      <c r="D57" s="368"/>
      <c r="E57" s="368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67"/>
      <c r="C59" s="368"/>
      <c r="D59" s="368"/>
      <c r="E59" s="368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69"/>
      <c r="C69" s="368"/>
      <c r="D69" s="368"/>
      <c r="E69" s="368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67"/>
      <c r="C70" s="368"/>
      <c r="D70" s="368"/>
      <c r="E70" s="368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69"/>
      <c r="C78" s="368"/>
      <c r="D78" s="368"/>
      <c r="E78" s="368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8">
    <mergeCell ref="C1:E2"/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273188A7-9DEB-48BF-BFCF-ED1E5A5F117B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79" t="s">
        <v>3533</v>
      </c>
      <c r="B1" s="379"/>
      <c r="C1" s="379"/>
      <c r="D1" s="379"/>
      <c r="E1" s="379"/>
      <c r="F1" s="379"/>
      <c r="G1" s="379"/>
      <c r="H1" s="379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0" t="s">
        <v>5071</v>
      </c>
      <c r="B615" s="380"/>
      <c r="C615" s="380"/>
      <c r="D615" s="380"/>
      <c r="E615" s="380"/>
      <c r="F615" s="380"/>
      <c r="G615" s="380"/>
      <c r="H615" s="380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5"/>
  <sheetViews>
    <sheetView showGridLines="0" zoomScale="90" zoomScaleNormal="90" workbookViewId="0">
      <pane ySplit="2" topLeftCell="A3" activePane="bottomLeft" state="frozen"/>
      <selection pane="bottomLeft" activeCell="I4" sqref="I4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0" t="s">
        <v>5252</v>
      </c>
      <c r="B1" s="370"/>
      <c r="C1" s="370"/>
      <c r="D1" s="370"/>
      <c r="E1" s="121" t="str">
        <f>IF(OR('OPĆI DIO'!C3="odaberite -",'OPĆI DIO'!C3=""),"Molimo odaberite proračunskog korisnika na radnom listu Opći podaci!","")</f>
        <v>Molimo odaberite proračunskog korisnika na radnom listu Opći podaci!</v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5265</v>
      </c>
      <c r="H2" s="330" t="s">
        <v>5266</v>
      </c>
      <c r="I2" s="330" t="s">
        <v>5267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337"/>
      <c r="B3" s="73"/>
      <c r="C3" s="119">
        <v>11</v>
      </c>
      <c r="D3" s="72"/>
      <c r="E3" s="84" t="s">
        <v>649</v>
      </c>
      <c r="F3" s="122"/>
      <c r="G3" s="117">
        <v>578665</v>
      </c>
      <c r="H3" s="117">
        <f>I3-G3</f>
        <v>7639</v>
      </c>
      <c r="I3" s="117">
        <v>586304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337"/>
      <c r="B4" s="73" t="e">
        <f>IF(E4="","",VLOOKUP('OPĆI DIO'!$C$3,'OPĆI DIO'!$L$6:$U$138,9,FALSE))</f>
        <v>#N/A</v>
      </c>
      <c r="C4" s="119">
        <v>11</v>
      </c>
      <c r="D4" s="72" t="str">
        <f t="shared" ref="D4:D67" si="0">IFERROR(VLOOKUP(E4,$R$6:$U$114,4,FALSE),"")</f>
        <v>Opći prihodi i primici</v>
      </c>
      <c r="E4" s="84" t="s">
        <v>649</v>
      </c>
      <c r="F4" s="122" t="str">
        <f t="shared" ref="F4:F67" si="1">IFERROR(VLOOKUP(E4,$R$6:$U$114,2,FALSE),"")</f>
        <v>Prihodi iz nadležnog proračuna za financiranje redovne djelatnosti proračunskih korisnika</v>
      </c>
      <c r="G4" s="117">
        <v>508</v>
      </c>
      <c r="H4" s="117">
        <f t="shared" ref="H4:H15" si="2">I4-G4</f>
        <v>838</v>
      </c>
      <c r="I4" s="117">
        <v>1346</v>
      </c>
      <c r="J4" s="84"/>
      <c r="L4" s="75" t="str">
        <f t="shared" ref="L4:L68" si="3">LEFT(E4,2)</f>
        <v>67</v>
      </c>
      <c r="M4" s="75" t="str">
        <f t="shared" ref="M4:M68" si="4">LEFT(E4,3)</f>
        <v>671</v>
      </c>
    </row>
    <row r="5" spans="1:23">
      <c r="A5" s="337"/>
      <c r="B5" s="73" t="e">
        <f>IF(E5="","",VLOOKUP('OPĆI DIO'!$C$3,'OPĆI DIO'!$L$6:$U$138,9,FALSE))</f>
        <v>#N/A</v>
      </c>
      <c r="C5" s="119">
        <v>11</v>
      </c>
      <c r="D5" s="72" t="str">
        <f t="shared" si="0"/>
        <v>Opći prihodi i primici</v>
      </c>
      <c r="E5" s="84" t="s">
        <v>649</v>
      </c>
      <c r="F5" s="122" t="str">
        <f t="shared" si="1"/>
        <v>Prihodi iz nadležnog proračuna za financiranje redovne djelatnosti proračunskih korisnika</v>
      </c>
      <c r="G5" s="117">
        <v>96491</v>
      </c>
      <c r="H5" s="117">
        <f t="shared" si="2"/>
        <v>-76491</v>
      </c>
      <c r="I5" s="117">
        <v>20000</v>
      </c>
      <c r="J5" s="84"/>
      <c r="L5" s="75" t="str">
        <f t="shared" si="3"/>
        <v>67</v>
      </c>
      <c r="M5" s="75" t="str">
        <f t="shared" si="4"/>
        <v>671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337" t="e">
        <f>IF(E6="","",VLOOKUP('OPĆI DIO'!$C$3,'OPĆI DIO'!$L$6:$U$138,10,FALSE))</f>
        <v>#N/A</v>
      </c>
      <c r="B6" s="73" t="e">
        <f>IF(E6="","",VLOOKUP('OPĆI DIO'!$C$3,'OPĆI DIO'!$L$6:$U$138,9,FALSE))</f>
        <v>#N/A</v>
      </c>
      <c r="C6" s="119">
        <f t="shared" ref="C6:C67" si="5">IFERROR(VLOOKUP(E6,$R$6:$U$114,3,FALSE),"")</f>
        <v>31</v>
      </c>
      <c r="D6" s="72" t="str">
        <f t="shared" si="0"/>
        <v>Vlastiti prihodi</v>
      </c>
      <c r="E6" s="84">
        <v>641510031</v>
      </c>
      <c r="F6" s="122" t="str">
        <f t="shared" si="1"/>
        <v>Prihodi od pozitivnih tečajnih razlika izvor 31</v>
      </c>
      <c r="G6" s="117">
        <v>18</v>
      </c>
      <c r="H6" s="117">
        <f t="shared" si="2"/>
        <v>0</v>
      </c>
      <c r="I6" s="117">
        <v>18</v>
      </c>
      <c r="J6" s="84"/>
      <c r="L6" s="75" t="str">
        <f t="shared" si="3"/>
        <v>64</v>
      </c>
      <c r="M6" s="75" t="str">
        <f t="shared" si="4"/>
        <v>641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7" t="e">
        <f>IF(E7="","",VLOOKUP('OPĆI DIO'!$C$3,'OPĆI DIO'!$L$6:$U$138,10,FALSE))</f>
        <v>#N/A</v>
      </c>
      <c r="B7" s="73" t="e">
        <f>IF(E7="","",VLOOKUP('OPĆI DIO'!$C$3,'OPĆI DIO'!$L$6:$U$138,9,FALSE))</f>
        <v>#N/A</v>
      </c>
      <c r="C7" s="119">
        <f t="shared" si="5"/>
        <v>31</v>
      </c>
      <c r="D7" s="72" t="str">
        <f t="shared" si="0"/>
        <v>Vlastiti prihodi</v>
      </c>
      <c r="E7" s="84">
        <v>6614</v>
      </c>
      <c r="F7" s="122" t="str">
        <f t="shared" si="1"/>
        <v>Prihodi od prodanih proizvoda i robe</v>
      </c>
      <c r="G7" s="117">
        <v>199</v>
      </c>
      <c r="H7" s="117">
        <f t="shared" si="2"/>
        <v>0</v>
      </c>
      <c r="I7" s="117">
        <v>199</v>
      </c>
      <c r="J7" s="84"/>
      <c r="L7" s="75" t="str">
        <f t="shared" si="3"/>
        <v>66</v>
      </c>
      <c r="M7" s="75" t="str">
        <f t="shared" si="4"/>
        <v>661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7"/>
      <c r="B8" s="73"/>
      <c r="C8" s="119">
        <v>31</v>
      </c>
      <c r="D8" s="72" t="str">
        <f t="shared" si="0"/>
        <v>Vlastiti prihodi</v>
      </c>
      <c r="E8" s="84">
        <v>6615</v>
      </c>
      <c r="F8" s="122" t="str">
        <f t="shared" si="1"/>
        <v>Prihodi od pruženih usluga</v>
      </c>
      <c r="G8" s="117"/>
      <c r="H8" s="117">
        <f t="shared" si="2"/>
        <v>35440</v>
      </c>
      <c r="I8" s="117">
        <v>35440</v>
      </c>
      <c r="J8" s="84"/>
      <c r="L8" s="75" t="str">
        <f t="shared" si="3"/>
        <v>66</v>
      </c>
      <c r="M8" s="75" t="str">
        <f t="shared" si="4"/>
        <v>661</v>
      </c>
      <c r="N8" s="75"/>
      <c r="O8" s="75"/>
      <c r="R8" s="5"/>
      <c r="S8" s="5"/>
      <c r="T8" s="5"/>
      <c r="U8" s="5"/>
    </row>
    <row r="9" spans="1:23">
      <c r="A9" s="337" t="e">
        <f>IF(E9="","",VLOOKUP('OPĆI DIO'!$C$3,'OPĆI DIO'!$L$6:$U$138,10,FALSE))</f>
        <v>#N/A</v>
      </c>
      <c r="B9" s="73" t="e">
        <f>IF(E9="","",VLOOKUP('OPĆI DIO'!$C$3,'OPĆI DIO'!$L$6:$U$138,9,FALSE))</f>
        <v>#N/A</v>
      </c>
      <c r="C9" s="119">
        <f t="shared" si="5"/>
        <v>52</v>
      </c>
      <c r="D9" s="72" t="str">
        <f t="shared" si="0"/>
        <v xml:space="preserve">Ostale pomoći i darovnice </v>
      </c>
      <c r="E9" s="84">
        <v>6381</v>
      </c>
      <c r="F9" s="122" t="str">
        <f t="shared" si="1"/>
        <v>Tekuće pomoći temeljem prijenosa EU sredstava iz proračuna JLP(R)S, korisnika JLPRS ili izvanproračunskog korisnika</v>
      </c>
      <c r="G9" s="117">
        <v>23543</v>
      </c>
      <c r="H9" s="117">
        <f t="shared" si="2"/>
        <v>-7370</v>
      </c>
      <c r="I9" s="117">
        <v>16173</v>
      </c>
      <c r="J9" s="84"/>
      <c r="L9" s="75" t="str">
        <f t="shared" si="3"/>
        <v>63</v>
      </c>
      <c r="M9" s="75" t="str">
        <f t="shared" si="4"/>
        <v>638</v>
      </c>
      <c r="N9" s="75">
        <v>31</v>
      </c>
      <c r="O9" s="75" t="s">
        <v>91</v>
      </c>
      <c r="R9" s="5">
        <v>614810041</v>
      </c>
      <c r="S9" s="5" t="s">
        <v>1212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7" t="e">
        <f>IF(E10="","",VLOOKUP('OPĆI DIO'!$C$3,'OPĆI DIO'!$L$6:$U$138,10,FALSE))</f>
        <v>#N/A</v>
      </c>
      <c r="B10" s="73" t="e">
        <f>IF(E10="","",VLOOKUP('OPĆI DIO'!$C$3,'OPĆI DIO'!$L$6:$U$138,9,FALSE))</f>
        <v>#N/A</v>
      </c>
      <c r="C10" s="119">
        <f t="shared" si="5"/>
        <v>52</v>
      </c>
      <c r="D10" s="72" t="str">
        <f t="shared" si="0"/>
        <v xml:space="preserve">Ostale pomoći i darovnice </v>
      </c>
      <c r="E10" s="84">
        <v>6361</v>
      </c>
      <c r="F10" s="122" t="str">
        <f t="shared" si="1"/>
        <v>Tekuće pomoći proračunskim korisnicima iz proračuna JLP(R)S koji im nije nadležan</v>
      </c>
      <c r="G10" s="117">
        <v>4155</v>
      </c>
      <c r="H10" s="117">
        <f t="shared" si="2"/>
        <v>-901</v>
      </c>
      <c r="I10" s="117">
        <v>3254</v>
      </c>
      <c r="J10" s="84"/>
      <c r="L10" s="75" t="str">
        <f t="shared" si="3"/>
        <v>63</v>
      </c>
      <c r="M10" s="75" t="str">
        <f t="shared" si="4"/>
        <v>636</v>
      </c>
      <c r="N10">
        <v>41</v>
      </c>
      <c r="O10" t="s">
        <v>1208</v>
      </c>
      <c r="R10" s="5">
        <v>614820041</v>
      </c>
      <c r="S10" s="5" t="s">
        <v>1213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e">
        <f>IF(E11="","",VLOOKUP('OPĆI DIO'!$C$3,'OPĆI DIO'!$L$6:$U$138,10,FALSE))</f>
        <v>#N/A</v>
      </c>
      <c r="B11" s="73" t="e">
        <f>IF(E11="","",VLOOKUP('OPĆI DIO'!$C$3,'OPĆI DIO'!$L$6:$U$138,9,FALSE))</f>
        <v>#N/A</v>
      </c>
      <c r="C11" s="119">
        <f t="shared" si="5"/>
        <v>43</v>
      </c>
      <c r="D11" s="72" t="str">
        <f t="shared" si="0"/>
        <v>Ostali prihodi za posebne namjene</v>
      </c>
      <c r="E11" s="84">
        <v>65264</v>
      </c>
      <c r="F11" s="122" t="str">
        <f t="shared" si="1"/>
        <v>Sufinanciranje cijene usluge, participacije i slično</v>
      </c>
      <c r="G11" s="117">
        <v>44734</v>
      </c>
      <c r="H11" s="117">
        <f t="shared" si="2"/>
        <v>87278</v>
      </c>
      <c r="I11" s="117">
        <v>132012</v>
      </c>
      <c r="J11" s="84"/>
      <c r="L11" s="75" t="str">
        <f t="shared" si="3"/>
        <v>65</v>
      </c>
      <c r="M11" s="75" t="str">
        <f t="shared" si="4"/>
        <v>652</v>
      </c>
      <c r="N11" s="75">
        <v>43</v>
      </c>
      <c r="O11" s="75" t="s">
        <v>96</v>
      </c>
      <c r="R11" s="5">
        <v>614830041</v>
      </c>
      <c r="S11" s="5" t="s">
        <v>1214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e">
        <f>IF(E12="","",VLOOKUP('OPĆI DIO'!$C$3,'OPĆI DIO'!$L$6:$U$138,10,FALSE))</f>
        <v>#N/A</v>
      </c>
      <c r="B12" s="73" t="e">
        <f>IF(E12="","",VLOOKUP('OPĆI DIO'!$C$3,'OPĆI DIO'!$L$6:$U$138,9,FALSE))</f>
        <v>#N/A</v>
      </c>
      <c r="C12" s="119">
        <f t="shared" si="5"/>
        <v>31</v>
      </c>
      <c r="D12" s="72" t="str">
        <f t="shared" si="0"/>
        <v>Vlastiti prihodi</v>
      </c>
      <c r="E12" s="84">
        <v>683110031</v>
      </c>
      <c r="F12" s="122" t="str">
        <f t="shared" si="1"/>
        <v>Ostali prihodi izvor 31</v>
      </c>
      <c r="G12" s="117"/>
      <c r="H12" s="117">
        <f t="shared" si="2"/>
        <v>10</v>
      </c>
      <c r="I12" s="117">
        <v>10</v>
      </c>
      <c r="J12" s="84"/>
      <c r="L12" s="75" t="str">
        <f t="shared" si="3"/>
        <v>68</v>
      </c>
      <c r="M12" s="75" t="str">
        <f t="shared" si="4"/>
        <v>683</v>
      </c>
      <c r="N12" s="75">
        <v>51</v>
      </c>
      <c r="O12" s="75" t="s">
        <v>86</v>
      </c>
      <c r="R12" s="5">
        <v>614840041</v>
      </c>
      <c r="S12" s="5" t="s">
        <v>1215</v>
      </c>
      <c r="T12" s="5">
        <v>41</v>
      </c>
      <c r="U12" s="5" t="s">
        <v>1208</v>
      </c>
      <c r="V12">
        <v>614</v>
      </c>
      <c r="W12">
        <v>61</v>
      </c>
    </row>
    <row r="13" spans="1:23">
      <c r="A13" s="337" t="e">
        <f>IF(E13="","",VLOOKUP('OPĆI DIO'!$C$3,'OPĆI DIO'!$L$6:$U$138,10,FALSE))</f>
        <v>#N/A</v>
      </c>
      <c r="B13" s="73" t="e">
        <f>IF(E13="","",VLOOKUP('OPĆI DIO'!$C$3,'OPĆI DIO'!$L$6:$U$138,9,FALSE))</f>
        <v>#N/A</v>
      </c>
      <c r="C13" s="119">
        <f t="shared" si="5"/>
        <v>43</v>
      </c>
      <c r="D13" s="72" t="str">
        <f t="shared" si="0"/>
        <v>Ostali prihodi za posebne namjene</v>
      </c>
      <c r="E13" s="84">
        <v>683110043</v>
      </c>
      <c r="F13" s="122" t="str">
        <f t="shared" si="1"/>
        <v>Ostali prihodi izvor 43</v>
      </c>
      <c r="G13" s="117"/>
      <c r="H13" s="117">
        <f t="shared" si="2"/>
        <v>15</v>
      </c>
      <c r="I13" s="117">
        <v>15</v>
      </c>
      <c r="J13" s="84"/>
      <c r="L13" s="75" t="str">
        <f t="shared" si="3"/>
        <v>68</v>
      </c>
      <c r="M13" s="75" t="str">
        <f t="shared" si="4"/>
        <v>683</v>
      </c>
      <c r="N13" s="75">
        <v>52</v>
      </c>
      <c r="O13" s="75" t="s">
        <v>109</v>
      </c>
      <c r="R13" s="5">
        <v>631110000</v>
      </c>
      <c r="S13" s="5" t="s">
        <v>22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e">
        <f>IF(E14="","",VLOOKUP('OPĆI DIO'!$C$3,'OPĆI DIO'!$L$6:$U$138,10,FALSE))</f>
        <v>#N/A</v>
      </c>
      <c r="B14" s="73" t="e">
        <f>IF(E14="","",VLOOKUP('OPĆI DIO'!$C$3,'OPĆI DIO'!$L$6:$U$138,9,FALSE))</f>
        <v>#N/A</v>
      </c>
      <c r="C14" s="119">
        <f t="shared" si="5"/>
        <v>52</v>
      </c>
      <c r="D14" s="72" t="str">
        <f t="shared" si="0"/>
        <v xml:space="preserve">Ostale pomoći i darovnice </v>
      </c>
      <c r="E14" s="84">
        <v>6391</v>
      </c>
      <c r="F14" s="122" t="str">
        <f t="shared" si="1"/>
        <v>Tekući prijenosi između proračunskih korisnika istog proračuna</v>
      </c>
      <c r="G14" s="117"/>
      <c r="H14" s="117">
        <f t="shared" si="2"/>
        <v>38684</v>
      </c>
      <c r="I14" s="117">
        <v>38684</v>
      </c>
      <c r="J14" s="84" t="s">
        <v>5268</v>
      </c>
      <c r="L14" s="75" t="str">
        <f t="shared" si="3"/>
        <v>63</v>
      </c>
      <c r="M14" s="75" t="str">
        <f t="shared" si="4"/>
        <v>639</v>
      </c>
      <c r="N14">
        <v>552</v>
      </c>
      <c r="O14" t="s">
        <v>1209</v>
      </c>
      <c r="R14" s="5">
        <v>631120000</v>
      </c>
      <c r="S14" s="5" t="s">
        <v>23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e">
        <f>IF(E15="","",VLOOKUP('OPĆI DIO'!$C$3,'OPĆI DIO'!$L$6:$U$138,10,FALSE))</f>
        <v>#N/A</v>
      </c>
      <c r="B15" s="73" t="e">
        <f>IF(E15="","",VLOOKUP('OPĆI DIO'!$C$3,'OPĆI DIO'!$L$6:$U$138,9,FALSE))</f>
        <v>#N/A</v>
      </c>
      <c r="C15" s="119">
        <f t="shared" si="5"/>
        <v>52</v>
      </c>
      <c r="D15" s="72" t="str">
        <f t="shared" si="0"/>
        <v xml:space="preserve">Ostale pomoći i darovnice </v>
      </c>
      <c r="E15" s="84">
        <v>6393</v>
      </c>
      <c r="F15" s="122" t="str">
        <f t="shared" si="1"/>
        <v>Tekući prijenosi između proračunskih korisnika istog proračuna temeljem prijenosa EU sredstava</v>
      </c>
      <c r="G15" s="117"/>
      <c r="H15" s="117">
        <f t="shared" si="2"/>
        <v>287</v>
      </c>
      <c r="I15" s="117">
        <v>287</v>
      </c>
      <c r="J15" s="84" t="s">
        <v>5269</v>
      </c>
      <c r="L15" s="75" t="str">
        <f t="shared" si="3"/>
        <v>63</v>
      </c>
      <c r="M15" s="75" t="str">
        <f t="shared" si="4"/>
        <v>639</v>
      </c>
      <c r="N15">
        <v>559</v>
      </c>
      <c r="O15" t="s">
        <v>1210</v>
      </c>
      <c r="R15" s="5">
        <v>631210000</v>
      </c>
      <c r="S15" s="5" t="s">
        <v>24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7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5"/>
        <v/>
      </c>
      <c r="D16" s="72" t="str">
        <f t="shared" si="0"/>
        <v/>
      </c>
      <c r="E16" s="84"/>
      <c r="F16" s="122" t="str">
        <f t="shared" si="1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561</v>
      </c>
      <c r="O16" s="75" t="s">
        <v>111</v>
      </c>
      <c r="R16" s="5">
        <v>631220000</v>
      </c>
      <c r="S16" s="5" t="s">
        <v>25</v>
      </c>
      <c r="T16" s="5">
        <v>52</v>
      </c>
      <c r="U16" s="5" t="s">
        <v>1671</v>
      </c>
      <c r="V16">
        <v>631</v>
      </c>
      <c r="W16">
        <v>63</v>
      </c>
    </row>
    <row r="17" spans="1:23">
      <c r="A17" s="337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5"/>
        <v/>
      </c>
      <c r="D17" s="72" t="str">
        <f t="shared" si="0"/>
        <v/>
      </c>
      <c r="E17" s="84"/>
      <c r="F17" s="122" t="str">
        <f t="shared" si="1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563</v>
      </c>
      <c r="O17" s="75" t="s">
        <v>113</v>
      </c>
      <c r="R17" s="5">
        <v>632112000</v>
      </c>
      <c r="S17" s="5" t="s">
        <v>1672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5"/>
        <v/>
      </c>
      <c r="D18" s="72" t="str">
        <f t="shared" si="0"/>
        <v/>
      </c>
      <c r="E18" s="84"/>
      <c r="F18" s="122" t="str">
        <f t="shared" si="1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 s="75">
        <v>573</v>
      </c>
      <c r="O18" t="s">
        <v>1220</v>
      </c>
      <c r="R18" s="5">
        <v>632212000</v>
      </c>
      <c r="S18" s="5" t="s">
        <v>1673</v>
      </c>
      <c r="T18" s="5">
        <v>52</v>
      </c>
      <c r="U18" s="5" t="s">
        <v>1671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5"/>
        <v/>
      </c>
      <c r="D19" s="72" t="str">
        <f t="shared" si="0"/>
        <v/>
      </c>
      <c r="E19" s="84"/>
      <c r="F19" s="122" t="str">
        <f t="shared" si="1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>
        <v>575</v>
      </c>
      <c r="O19" t="s">
        <v>1222</v>
      </c>
      <c r="R19" s="5">
        <v>632310552</v>
      </c>
      <c r="S19" s="5" t="s">
        <v>1217</v>
      </c>
      <c r="T19" s="5">
        <v>552</v>
      </c>
      <c r="U19" s="5" t="s">
        <v>1209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5"/>
        <v/>
      </c>
      <c r="D20" s="72" t="str">
        <f t="shared" si="0"/>
        <v/>
      </c>
      <c r="E20" s="84"/>
      <c r="F20" s="122" t="str">
        <f t="shared" si="1"/>
        <v/>
      </c>
      <c r="G20" s="117"/>
      <c r="H20" s="117"/>
      <c r="I20" s="117"/>
      <c r="J20" s="84"/>
      <c r="L20" s="75" t="str">
        <f t="shared" si="3"/>
        <v/>
      </c>
      <c r="M20" s="75" t="str">
        <f t="shared" si="4"/>
        <v/>
      </c>
      <c r="N20" s="222">
        <v>5761</v>
      </c>
      <c r="O20" s="142" t="s">
        <v>3528</v>
      </c>
      <c r="R20" s="5">
        <v>632310559</v>
      </c>
      <c r="S20" s="5" t="s">
        <v>1218</v>
      </c>
      <c r="T20" s="5">
        <v>559</v>
      </c>
      <c r="U20" s="5" t="s">
        <v>1210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5"/>
        <v/>
      </c>
      <c r="D21" s="72" t="str">
        <f t="shared" si="0"/>
        <v/>
      </c>
      <c r="E21" s="84"/>
      <c r="F21" s="122" t="str">
        <f t="shared" si="1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222">
        <v>5762</v>
      </c>
      <c r="O21" s="142" t="s">
        <v>3528</v>
      </c>
      <c r="R21" s="5">
        <v>632310561</v>
      </c>
      <c r="S21" s="5" t="s">
        <v>111</v>
      </c>
      <c r="T21" s="5">
        <v>561</v>
      </c>
      <c r="U21" s="5" t="s">
        <v>111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5"/>
        <v/>
      </c>
      <c r="D22" s="72" t="str">
        <f t="shared" si="0"/>
        <v/>
      </c>
      <c r="E22" s="84"/>
      <c r="F22" s="122" t="str">
        <f t="shared" si="1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135">
        <v>581</v>
      </c>
      <c r="O22" s="169" t="s">
        <v>1777</v>
      </c>
      <c r="R22" s="5">
        <v>632310563</v>
      </c>
      <c r="S22" s="5" t="s">
        <v>1747</v>
      </c>
      <c r="T22" s="5">
        <v>563</v>
      </c>
      <c r="U22" s="5" t="s">
        <v>113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5"/>
        <v/>
      </c>
      <c r="D23" s="72" t="str">
        <f t="shared" si="0"/>
        <v/>
      </c>
      <c r="E23" s="84"/>
      <c r="F23" s="122" t="str">
        <f t="shared" si="1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75">
        <v>61</v>
      </c>
      <c r="O23" s="75" t="s">
        <v>115</v>
      </c>
      <c r="R23" s="5">
        <v>632310573</v>
      </c>
      <c r="S23" s="5" t="s">
        <v>1219</v>
      </c>
      <c r="T23" s="5">
        <v>573</v>
      </c>
      <c r="U23" s="5" t="s">
        <v>1220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5"/>
        <v/>
      </c>
      <c r="D24" s="72" t="str">
        <f t="shared" si="0"/>
        <v/>
      </c>
      <c r="E24" s="84"/>
      <c r="F24" s="122" t="str">
        <f t="shared" si="1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220">
        <v>63</v>
      </c>
      <c r="O24" s="75" t="s">
        <v>3524</v>
      </c>
      <c r="R24" s="5">
        <v>632310575</v>
      </c>
      <c r="S24" s="5" t="s">
        <v>1221</v>
      </c>
      <c r="T24" s="5">
        <v>575</v>
      </c>
      <c r="U24" s="5" t="s">
        <v>1222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5"/>
        <v/>
      </c>
      <c r="D25" s="72" t="str">
        <f t="shared" si="0"/>
        <v/>
      </c>
      <c r="E25" s="84"/>
      <c r="F25" s="122" t="str">
        <f t="shared" si="1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71</v>
      </c>
      <c r="O25" s="75" t="s">
        <v>173</v>
      </c>
      <c r="R25" s="221">
        <v>632315761</v>
      </c>
      <c r="S25" s="221" t="s">
        <v>1778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5"/>
        <v/>
      </c>
      <c r="D26" s="72" t="str">
        <f t="shared" si="0"/>
        <v/>
      </c>
      <c r="E26" s="84"/>
      <c r="F26" s="122" t="str">
        <f t="shared" si="1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>
        <v>81</v>
      </c>
      <c r="O26" s="75" t="s">
        <v>56</v>
      </c>
      <c r="R26" s="221">
        <v>632315762</v>
      </c>
      <c r="S26" s="221" t="s">
        <v>3526</v>
      </c>
      <c r="T26" s="221">
        <v>576</v>
      </c>
      <c r="U26" s="221" t="s">
        <v>1703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5"/>
        <v/>
      </c>
      <c r="D27" s="72" t="str">
        <f t="shared" si="0"/>
        <v/>
      </c>
      <c r="E27" s="84"/>
      <c r="F27" s="122" t="str">
        <f t="shared" si="1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N27" s="75"/>
      <c r="O27" s="75"/>
      <c r="R27" s="5">
        <v>632310581</v>
      </c>
      <c r="S27" s="5" t="s">
        <v>1780</v>
      </c>
      <c r="T27" s="5">
        <v>581</v>
      </c>
      <c r="U27" s="5" t="s">
        <v>1777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5"/>
        <v/>
      </c>
      <c r="D28" s="72" t="str">
        <f t="shared" si="0"/>
        <v/>
      </c>
      <c r="E28" s="84"/>
      <c r="F28" s="122" t="str">
        <f t="shared" si="1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632311700</v>
      </c>
      <c r="S28" s="5" t="s">
        <v>20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5"/>
        <v/>
      </c>
      <c r="D29" s="72" t="str">
        <f t="shared" si="0"/>
        <v/>
      </c>
      <c r="E29" s="84"/>
      <c r="F29" s="122" t="str">
        <f t="shared" si="1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632311800</v>
      </c>
      <c r="S29" s="5" t="s">
        <v>217</v>
      </c>
      <c r="T29" s="5">
        <v>51</v>
      </c>
      <c r="U29" s="5" t="s">
        <v>1674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5"/>
        <v/>
      </c>
      <c r="D30" s="72" t="str">
        <f t="shared" si="0"/>
        <v/>
      </c>
      <c r="E30" s="84"/>
      <c r="F30" s="122" t="str">
        <f t="shared" si="1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632410552</v>
      </c>
      <c r="S30" s="5" t="s">
        <v>1223</v>
      </c>
      <c r="T30" s="5">
        <v>552</v>
      </c>
      <c r="U30" s="5" t="s">
        <v>1209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5"/>
        <v/>
      </c>
      <c r="D31" s="72" t="str">
        <f t="shared" si="0"/>
        <v/>
      </c>
      <c r="E31" s="84"/>
      <c r="F31" s="122" t="str">
        <f t="shared" si="1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632410559</v>
      </c>
      <c r="S31" s="5" t="s">
        <v>1224</v>
      </c>
      <c r="T31" s="5">
        <v>559</v>
      </c>
      <c r="U31" s="5" t="s">
        <v>1210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5"/>
        <v/>
      </c>
      <c r="D32" s="72" t="str">
        <f t="shared" si="0"/>
        <v/>
      </c>
      <c r="E32" s="84"/>
      <c r="F32" s="122" t="str">
        <f t="shared" si="1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632410561</v>
      </c>
      <c r="S32" s="5" t="s">
        <v>111</v>
      </c>
      <c r="T32" s="5">
        <v>561</v>
      </c>
      <c r="U32" s="5" t="s">
        <v>111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5"/>
        <v/>
      </c>
      <c r="D33" s="72" t="str">
        <f t="shared" si="0"/>
        <v/>
      </c>
      <c r="E33" s="84"/>
      <c r="F33" s="122" t="str">
        <f t="shared" si="1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632410563</v>
      </c>
      <c r="S33" s="5" t="s">
        <v>1747</v>
      </c>
      <c r="T33" s="5">
        <v>563</v>
      </c>
      <c r="U33" s="5" t="s">
        <v>113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5"/>
        <v/>
      </c>
      <c r="D34" s="72" t="str">
        <f t="shared" si="0"/>
        <v/>
      </c>
      <c r="E34" s="84"/>
      <c r="F34" s="122" t="str">
        <f t="shared" si="1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632410573</v>
      </c>
      <c r="S34" s="5" t="s">
        <v>1225</v>
      </c>
      <c r="T34" s="5">
        <v>573</v>
      </c>
      <c r="U34" s="5" t="s">
        <v>1220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5"/>
        <v/>
      </c>
      <c r="D35" s="72" t="str">
        <f t="shared" si="0"/>
        <v/>
      </c>
      <c r="E35" s="84"/>
      <c r="F35" s="122" t="str">
        <f t="shared" si="1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5">
        <v>632410575</v>
      </c>
      <c r="S35" s="5" t="s">
        <v>1226</v>
      </c>
      <c r="T35" s="5">
        <v>575</v>
      </c>
      <c r="U35" s="5" t="s">
        <v>1222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5"/>
        <v/>
      </c>
      <c r="D36" s="72" t="str">
        <f t="shared" si="0"/>
        <v/>
      </c>
      <c r="E36" s="84"/>
      <c r="F36" s="122" t="str">
        <f t="shared" si="1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632415761</v>
      </c>
      <c r="S36" s="221" t="s">
        <v>1779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5"/>
        <v/>
      </c>
      <c r="D37" s="72" t="str">
        <f t="shared" si="0"/>
        <v/>
      </c>
      <c r="E37" s="84"/>
      <c r="F37" s="122" t="str">
        <f t="shared" si="1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221">
        <v>632415762</v>
      </c>
      <c r="S37" s="221" t="s">
        <v>3527</v>
      </c>
      <c r="T37" s="221">
        <v>576</v>
      </c>
      <c r="U37" s="221" t="s">
        <v>1703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5"/>
        <v/>
      </c>
      <c r="D38" s="72" t="str">
        <f t="shared" si="0"/>
        <v/>
      </c>
      <c r="E38" s="84"/>
      <c r="F38" s="122" t="str">
        <f t="shared" si="1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632410581</v>
      </c>
      <c r="S38" s="5" t="s">
        <v>1781</v>
      </c>
      <c r="T38" s="5">
        <v>581</v>
      </c>
      <c r="U38" s="5" t="s">
        <v>1777</v>
      </c>
      <c r="V38">
        <v>632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5"/>
        <v/>
      </c>
      <c r="D39" s="72" t="str">
        <f t="shared" si="0"/>
        <v/>
      </c>
      <c r="E39" s="84"/>
      <c r="F39" s="122" t="str">
        <f t="shared" si="1"/>
        <v/>
      </c>
      <c r="G39" s="117"/>
      <c r="H39" s="117"/>
      <c r="I39" s="117"/>
      <c r="J39" s="84"/>
      <c r="L39" s="75" t="str">
        <f t="shared" si="3"/>
        <v/>
      </c>
      <c r="M39" s="75" t="str">
        <f t="shared" si="4"/>
        <v/>
      </c>
      <c r="R39" s="5">
        <v>632411700</v>
      </c>
      <c r="S39" s="5" t="s">
        <v>21</v>
      </c>
      <c r="T39" s="5">
        <v>51</v>
      </c>
      <c r="U39" s="5" t="s">
        <v>1674</v>
      </c>
      <c r="V39">
        <v>632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5"/>
        <v/>
      </c>
      <c r="D40" s="72" t="str">
        <f t="shared" si="0"/>
        <v/>
      </c>
      <c r="E40" s="84"/>
      <c r="F40" s="122" t="str">
        <f t="shared" si="1"/>
        <v/>
      </c>
      <c r="G40" s="117"/>
      <c r="H40" s="117"/>
      <c r="I40" s="117"/>
      <c r="J40" s="84"/>
      <c r="K40" s="329"/>
      <c r="L40" s="75" t="str">
        <f t="shared" si="3"/>
        <v/>
      </c>
      <c r="M40" s="326">
        <f>+G12+G13+G38</f>
        <v>0</v>
      </c>
      <c r="R40" s="5">
        <v>6341</v>
      </c>
      <c r="S40" s="5" t="s">
        <v>1705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5"/>
        <v/>
      </c>
      <c r="D41" s="72" t="str">
        <f t="shared" si="0"/>
        <v/>
      </c>
      <c r="E41" s="84"/>
      <c r="F41" s="122" t="str">
        <f t="shared" si="1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6342</v>
      </c>
      <c r="S41" s="5" t="s">
        <v>1706</v>
      </c>
      <c r="T41" s="5">
        <v>52</v>
      </c>
      <c r="U41" s="5" t="s">
        <v>1671</v>
      </c>
      <c r="V41">
        <v>634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5"/>
        <v/>
      </c>
      <c r="D42" s="72" t="str">
        <f t="shared" si="0"/>
        <v/>
      </c>
      <c r="E42" s="84"/>
      <c r="F42" s="122" t="str">
        <f t="shared" si="1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6361</v>
      </c>
      <c r="S42" s="5" t="s">
        <v>1675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5"/>
        <v/>
      </c>
      <c r="D43" s="72" t="str">
        <f t="shared" si="0"/>
        <v/>
      </c>
      <c r="E43" s="84"/>
      <c r="F43" s="122" t="str">
        <f t="shared" si="1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6362</v>
      </c>
      <c r="S43" s="5" t="s">
        <v>1676</v>
      </c>
      <c r="T43" s="5">
        <v>52</v>
      </c>
      <c r="U43" s="5" t="s">
        <v>1671</v>
      </c>
      <c r="V43">
        <v>636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5"/>
        <v/>
      </c>
      <c r="D44" s="72" t="str">
        <f t="shared" si="0"/>
        <v/>
      </c>
      <c r="E44" s="84"/>
      <c r="F44" s="122" t="str">
        <f t="shared" si="1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6381</v>
      </c>
      <c r="S44" s="5" t="s">
        <v>1782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5"/>
        <v/>
      </c>
      <c r="D45" s="72" t="str">
        <f t="shared" si="0"/>
        <v/>
      </c>
      <c r="E45" s="84"/>
      <c r="F45" s="122" t="str">
        <f t="shared" si="1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6382</v>
      </c>
      <c r="S45" s="5" t="s">
        <v>1783</v>
      </c>
      <c r="T45" s="5">
        <v>52</v>
      </c>
      <c r="U45" s="5" t="s">
        <v>1671</v>
      </c>
      <c r="V45">
        <v>638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5"/>
        <v/>
      </c>
      <c r="D46" s="72" t="str">
        <f t="shared" si="0"/>
        <v/>
      </c>
      <c r="E46" s="84"/>
      <c r="F46" s="122" t="str">
        <f t="shared" si="1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6391</v>
      </c>
      <c r="S46" s="5" t="s">
        <v>28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5"/>
        <v/>
      </c>
      <c r="D47" s="72" t="str">
        <f t="shared" si="0"/>
        <v/>
      </c>
      <c r="E47" s="84"/>
      <c r="F47" s="122" t="str">
        <f t="shared" si="1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6392</v>
      </c>
      <c r="S47" s="5" t="s">
        <v>29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5"/>
        <v/>
      </c>
      <c r="D48" s="72" t="str">
        <f t="shared" si="0"/>
        <v/>
      </c>
      <c r="E48" s="84"/>
      <c r="F48" s="122" t="str">
        <f t="shared" si="1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6393</v>
      </c>
      <c r="S48" s="5" t="s">
        <v>30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5"/>
        <v/>
      </c>
      <c r="D49" s="72" t="str">
        <f t="shared" si="0"/>
        <v/>
      </c>
      <c r="E49" s="84"/>
      <c r="F49" s="122" t="str">
        <f t="shared" si="1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6394</v>
      </c>
      <c r="S49" s="5" t="s">
        <v>31</v>
      </c>
      <c r="T49" s="5">
        <v>52</v>
      </c>
      <c r="U49" s="5" t="s">
        <v>1671</v>
      </c>
      <c r="V49">
        <v>639</v>
      </c>
      <c r="W49">
        <v>63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5"/>
        <v/>
      </c>
      <c r="D50" s="72" t="str">
        <f t="shared" si="0"/>
        <v/>
      </c>
      <c r="E50" s="84"/>
      <c r="F50" s="122" t="str">
        <f t="shared" si="1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641290031</v>
      </c>
      <c r="S50" s="5" t="s">
        <v>206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5"/>
        <v/>
      </c>
      <c r="D51" s="72" t="str">
        <f t="shared" si="0"/>
        <v/>
      </c>
      <c r="E51" s="84"/>
      <c r="F51" s="122" t="str">
        <f t="shared" si="1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641310031</v>
      </c>
      <c r="S51" s="5" t="s">
        <v>207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5"/>
        <v/>
      </c>
      <c r="D52" s="72" t="str">
        <f t="shared" si="0"/>
        <v/>
      </c>
      <c r="E52" s="84"/>
      <c r="F52" s="122" t="str">
        <f t="shared" si="1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641320031</v>
      </c>
      <c r="S52" s="5" t="s">
        <v>208</v>
      </c>
      <c r="T52" s="5">
        <v>31</v>
      </c>
      <c r="U52" s="5" t="s">
        <v>91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5"/>
        <v/>
      </c>
      <c r="D53" s="72" t="str">
        <f t="shared" si="0"/>
        <v/>
      </c>
      <c r="E53" s="84"/>
      <c r="F53" s="122" t="str">
        <f t="shared" si="1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641320043</v>
      </c>
      <c r="S53" s="5" t="s">
        <v>1677</v>
      </c>
      <c r="T53" s="5">
        <v>43</v>
      </c>
      <c r="U53" s="5" t="s">
        <v>96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5"/>
        <v/>
      </c>
      <c r="D54" s="72" t="str">
        <f t="shared" si="0"/>
        <v/>
      </c>
      <c r="E54" s="84"/>
      <c r="F54" s="122" t="str">
        <f t="shared" si="1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641510031</v>
      </c>
      <c r="S54" s="5" t="s">
        <v>1678</v>
      </c>
      <c r="T54" s="5">
        <v>31</v>
      </c>
      <c r="U54" s="5" t="s">
        <v>91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5"/>
        <v/>
      </c>
      <c r="D55" s="72" t="str">
        <f t="shared" si="0"/>
        <v/>
      </c>
      <c r="E55" s="84"/>
      <c r="F55" s="122" t="str">
        <f t="shared" si="1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641510043</v>
      </c>
      <c r="S55" s="5" t="s">
        <v>1679</v>
      </c>
      <c r="T55" s="5">
        <v>43</v>
      </c>
      <c r="U55" s="5" t="s">
        <v>96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5"/>
        <v/>
      </c>
      <c r="D56" s="72" t="str">
        <f t="shared" si="0"/>
        <v/>
      </c>
      <c r="E56" s="84"/>
      <c r="F56" s="122" t="str">
        <f t="shared" si="1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641630031</v>
      </c>
      <c r="S56" s="5" t="s">
        <v>209</v>
      </c>
      <c r="T56" s="5">
        <v>31</v>
      </c>
      <c r="U56" s="5" t="s">
        <v>91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5"/>
        <v/>
      </c>
      <c r="D57" s="72" t="str">
        <f t="shared" si="0"/>
        <v/>
      </c>
      <c r="E57" s="84"/>
      <c r="F57" s="122" t="str">
        <f t="shared" si="1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641720043</v>
      </c>
      <c r="S57" s="5" t="s">
        <v>212</v>
      </c>
      <c r="T57" s="5">
        <v>43</v>
      </c>
      <c r="U57" s="5" t="s">
        <v>96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5"/>
        <v/>
      </c>
      <c r="D58" s="72" t="str">
        <f t="shared" si="0"/>
        <v/>
      </c>
      <c r="E58" s="84"/>
      <c r="F58" s="122" t="str">
        <f t="shared" si="1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641770041</v>
      </c>
      <c r="S58" s="5" t="s">
        <v>1216</v>
      </c>
      <c r="T58" s="5">
        <v>41</v>
      </c>
      <c r="U58" s="5" t="s">
        <v>1208</v>
      </c>
      <c r="V58">
        <v>641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5"/>
        <v/>
      </c>
      <c r="D59" s="72" t="str">
        <f t="shared" si="0"/>
        <v/>
      </c>
      <c r="E59" s="84"/>
      <c r="F59" s="122" t="str">
        <f t="shared" si="1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641990043</v>
      </c>
      <c r="S59" s="5" t="s">
        <v>1680</v>
      </c>
      <c r="T59" s="5">
        <v>43</v>
      </c>
      <c r="U59" s="5" t="s">
        <v>96</v>
      </c>
      <c r="V59">
        <v>641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5"/>
        <v/>
      </c>
      <c r="D60" s="72" t="str">
        <f t="shared" si="0"/>
        <v/>
      </c>
      <c r="E60" s="84"/>
      <c r="F60" s="122" t="str">
        <f t="shared" si="1"/>
        <v/>
      </c>
      <c r="G60" s="117"/>
      <c r="H60" s="117"/>
      <c r="I60" s="117"/>
      <c r="J60" s="84"/>
      <c r="L60" s="75" t="str">
        <f t="shared" si="3"/>
        <v/>
      </c>
      <c r="M60" s="75" t="str">
        <f t="shared" si="4"/>
        <v/>
      </c>
      <c r="R60" s="5">
        <v>642510031</v>
      </c>
      <c r="S60" s="5" t="s">
        <v>210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5"/>
        <v/>
      </c>
      <c r="D61" s="72" t="str">
        <f t="shared" si="0"/>
        <v/>
      </c>
      <c r="E61" s="84"/>
      <c r="F61" s="122" t="str">
        <f t="shared" si="1"/>
        <v/>
      </c>
      <c r="G61" s="117"/>
      <c r="H61" s="117"/>
      <c r="I61" s="117"/>
      <c r="J61" s="84"/>
      <c r="L61" s="75" t="str">
        <f t="shared" si="3"/>
        <v/>
      </c>
      <c r="M61" s="75" t="str">
        <f t="shared" si="4"/>
        <v/>
      </c>
      <c r="R61" s="5">
        <v>642990031</v>
      </c>
      <c r="S61" s="5" t="s">
        <v>211</v>
      </c>
      <c r="T61" s="5">
        <v>31</v>
      </c>
      <c r="U61" s="5" t="s">
        <v>91</v>
      </c>
      <c r="V61">
        <v>642</v>
      </c>
      <c r="W61">
        <v>64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5"/>
        <v/>
      </c>
      <c r="D62" s="72" t="str">
        <f t="shared" si="0"/>
        <v/>
      </c>
      <c r="E62" s="84"/>
      <c r="F62" s="122" t="str">
        <f t="shared" si="1"/>
        <v/>
      </c>
      <c r="G62" s="117"/>
      <c r="H62" s="117"/>
      <c r="I62" s="117"/>
      <c r="J62" s="84"/>
      <c r="L62" s="75" t="str">
        <f t="shared" si="3"/>
        <v/>
      </c>
      <c r="M62" s="75" t="str">
        <f t="shared" si="4"/>
        <v/>
      </c>
      <c r="R62" s="5">
        <v>65148</v>
      </c>
      <c r="S62" s="5" t="s">
        <v>19</v>
      </c>
      <c r="T62" s="5">
        <v>43</v>
      </c>
      <c r="U62" s="5" t="s">
        <v>96</v>
      </c>
      <c r="V62">
        <v>651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5"/>
        <v/>
      </c>
      <c r="D63" s="72" t="str">
        <f t="shared" si="0"/>
        <v/>
      </c>
      <c r="E63" s="84"/>
      <c r="F63" s="122" t="str">
        <f t="shared" si="1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65218</v>
      </c>
      <c r="S63" s="5" t="s">
        <v>1681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5"/>
        <v/>
      </c>
      <c r="D64" s="72" t="str">
        <f t="shared" si="0"/>
        <v/>
      </c>
      <c r="E64" s="84"/>
      <c r="F64" s="122" t="str">
        <f t="shared" si="1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65264</v>
      </c>
      <c r="S64" s="5" t="s">
        <v>213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5"/>
        <v/>
      </c>
      <c r="D65" s="72" t="str">
        <f t="shared" si="0"/>
        <v/>
      </c>
      <c r="E65" s="84"/>
      <c r="F65" s="122" t="str">
        <f t="shared" si="1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652670043</v>
      </c>
      <c r="S65" s="5" t="s">
        <v>214</v>
      </c>
      <c r="T65" s="5">
        <v>43</v>
      </c>
      <c r="U65" s="5" t="s">
        <v>96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5"/>
        <v/>
      </c>
      <c r="D66" s="72" t="str">
        <f t="shared" si="0"/>
        <v/>
      </c>
      <c r="E66" s="84"/>
      <c r="F66" s="122" t="str">
        <f t="shared" si="1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652670071</v>
      </c>
      <c r="S66" s="5" t="s">
        <v>1785</v>
      </c>
      <c r="T66" s="5">
        <v>71</v>
      </c>
      <c r="U66" s="5" t="s">
        <v>173</v>
      </c>
      <c r="V66">
        <v>652</v>
      </c>
      <c r="W66">
        <v>65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5"/>
        <v/>
      </c>
      <c r="D67" s="72" t="str">
        <f t="shared" si="0"/>
        <v/>
      </c>
      <c r="E67" s="84"/>
      <c r="F67" s="122" t="str">
        <f t="shared" si="1"/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65268</v>
      </c>
      <c r="S67" s="5" t="s">
        <v>1682</v>
      </c>
      <c r="T67" s="5">
        <v>43</v>
      </c>
      <c r="U67" s="5" t="s">
        <v>96</v>
      </c>
      <c r="V67">
        <v>652</v>
      </c>
      <c r="W67">
        <v>65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ref="C68:C131" si="6">IFERROR(VLOOKUP(E68,$R$6:$U$114,3,FALSE),"")</f>
        <v/>
      </c>
      <c r="D68" s="72" t="str">
        <f t="shared" ref="D68:D131" si="7">IFERROR(VLOOKUP(E68,$R$6:$U$114,4,FALSE),"")</f>
        <v/>
      </c>
      <c r="E68" s="84"/>
      <c r="F68" s="122" t="str">
        <f t="shared" ref="F68:F131" si="8">IFERROR(VLOOKUP(E68,$R$6:$U$114,2,FALSE),"")</f>
        <v/>
      </c>
      <c r="G68" s="117"/>
      <c r="H68" s="117"/>
      <c r="I68" s="117"/>
      <c r="J68" s="84"/>
      <c r="L68" s="75" t="str">
        <f t="shared" si="3"/>
        <v/>
      </c>
      <c r="M68" s="75" t="str">
        <f t="shared" si="4"/>
        <v/>
      </c>
      <c r="R68" s="5">
        <v>6614</v>
      </c>
      <c r="S68" s="5" t="s">
        <v>1704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6"/>
        <v/>
      </c>
      <c r="D69" s="72" t="str">
        <f t="shared" si="7"/>
        <v/>
      </c>
      <c r="E69" s="84"/>
      <c r="F69" s="122" t="str">
        <f t="shared" si="8"/>
        <v/>
      </c>
      <c r="G69" s="117"/>
      <c r="H69" s="117"/>
      <c r="I69" s="117"/>
      <c r="J69" s="84"/>
      <c r="L69" s="75" t="str">
        <f t="shared" ref="L69:L132" si="9">LEFT(E69,2)</f>
        <v/>
      </c>
      <c r="M69" s="75" t="str">
        <f t="shared" ref="M69:M132" si="10">LEFT(E69,3)</f>
        <v/>
      </c>
      <c r="R69" s="5">
        <v>6615</v>
      </c>
      <c r="S69" s="5" t="s">
        <v>18</v>
      </c>
      <c r="T69" s="5">
        <v>31</v>
      </c>
      <c r="U69" s="5" t="s">
        <v>91</v>
      </c>
      <c r="V69">
        <v>661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6"/>
        <v/>
      </c>
      <c r="D70" s="72" t="str">
        <f t="shared" si="7"/>
        <v/>
      </c>
      <c r="E70" s="84"/>
      <c r="F70" s="122" t="str">
        <f t="shared" si="8"/>
        <v/>
      </c>
      <c r="G70" s="117"/>
      <c r="H70" s="117"/>
      <c r="I70" s="117"/>
      <c r="J70" s="84"/>
      <c r="L70" s="75" t="str">
        <f t="shared" si="9"/>
        <v/>
      </c>
      <c r="M70" s="75" t="str">
        <f t="shared" si="10"/>
        <v/>
      </c>
      <c r="R70" s="5">
        <v>663110000</v>
      </c>
      <c r="S70" s="5" t="s">
        <v>32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6"/>
        <v/>
      </c>
      <c r="D71" s="72" t="str">
        <f t="shared" si="7"/>
        <v/>
      </c>
      <c r="E71" s="84"/>
      <c r="F71" s="122" t="str">
        <f t="shared" si="8"/>
        <v/>
      </c>
      <c r="G71" s="117"/>
      <c r="H71" s="117"/>
      <c r="I71" s="117"/>
      <c r="J71" s="84"/>
      <c r="L71" s="75" t="str">
        <f t="shared" si="9"/>
        <v/>
      </c>
      <c r="M71" s="75" t="str">
        <f t="shared" si="10"/>
        <v/>
      </c>
      <c r="R71" s="5">
        <v>663120000</v>
      </c>
      <c r="S71" s="5" t="s">
        <v>33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6"/>
        <v/>
      </c>
      <c r="D72" s="72" t="str">
        <f t="shared" si="7"/>
        <v/>
      </c>
      <c r="E72" s="84"/>
      <c r="F72" s="122" t="str">
        <f t="shared" si="8"/>
        <v/>
      </c>
      <c r="G72" s="117"/>
      <c r="H72" s="117"/>
      <c r="I72" s="117"/>
      <c r="J72" s="84"/>
      <c r="L72" s="75" t="str">
        <f t="shared" si="9"/>
        <v/>
      </c>
      <c r="M72" s="75" t="str">
        <f t="shared" si="10"/>
        <v/>
      </c>
      <c r="R72" s="5">
        <v>663130000</v>
      </c>
      <c r="S72" s="5" t="s">
        <v>34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6"/>
        <v/>
      </c>
      <c r="D73" s="72" t="str">
        <f t="shared" si="7"/>
        <v/>
      </c>
      <c r="E73" s="84"/>
      <c r="F73" s="122" t="str">
        <f t="shared" si="8"/>
        <v/>
      </c>
      <c r="G73" s="117"/>
      <c r="H73" s="117"/>
      <c r="I73" s="117"/>
      <c r="J73" s="84"/>
      <c r="L73" s="75" t="str">
        <f t="shared" si="9"/>
        <v/>
      </c>
      <c r="M73" s="75" t="str">
        <f t="shared" si="10"/>
        <v/>
      </c>
      <c r="R73" s="5">
        <v>663140000</v>
      </c>
      <c r="S73" s="5" t="s">
        <v>1684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6"/>
        <v/>
      </c>
      <c r="D74" s="72" t="str">
        <f t="shared" si="7"/>
        <v/>
      </c>
      <c r="E74" s="84"/>
      <c r="F74" s="122" t="str">
        <f t="shared" si="8"/>
        <v/>
      </c>
      <c r="G74" s="117"/>
      <c r="H74" s="117"/>
      <c r="I74" s="117"/>
      <c r="J74" s="84"/>
      <c r="L74" s="75" t="str">
        <f t="shared" si="9"/>
        <v/>
      </c>
      <c r="M74" s="75" t="str">
        <f t="shared" si="10"/>
        <v/>
      </c>
      <c r="R74" s="5">
        <v>663210000</v>
      </c>
      <c r="S74" s="5" t="s">
        <v>1685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6"/>
        <v/>
      </c>
      <c r="D75" s="72" t="str">
        <f t="shared" si="7"/>
        <v/>
      </c>
      <c r="E75" s="84"/>
      <c r="F75" s="122" t="str">
        <f t="shared" si="8"/>
        <v/>
      </c>
      <c r="G75" s="117"/>
      <c r="H75" s="117"/>
      <c r="I75" s="117"/>
      <c r="J75" s="84"/>
      <c r="L75" s="75" t="str">
        <f t="shared" si="9"/>
        <v/>
      </c>
      <c r="M75" s="75" t="str">
        <f t="shared" si="10"/>
        <v/>
      </c>
      <c r="R75" s="5">
        <v>663220000</v>
      </c>
      <c r="S75" s="5" t="s">
        <v>35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6"/>
        <v/>
      </c>
      <c r="D76" s="72" t="str">
        <f t="shared" si="7"/>
        <v/>
      </c>
      <c r="E76" s="84"/>
      <c r="F76" s="122" t="str">
        <f t="shared" si="8"/>
        <v/>
      </c>
      <c r="G76" s="117"/>
      <c r="H76" s="117"/>
      <c r="I76" s="117"/>
      <c r="J76" s="84"/>
      <c r="L76" s="75" t="str">
        <f t="shared" si="9"/>
        <v/>
      </c>
      <c r="M76" s="75" t="str">
        <f t="shared" si="10"/>
        <v/>
      </c>
      <c r="R76" s="5">
        <v>663230000</v>
      </c>
      <c r="S76" s="5" t="s">
        <v>36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6"/>
        <v/>
      </c>
      <c r="D77" s="72" t="str">
        <f t="shared" si="7"/>
        <v/>
      </c>
      <c r="E77" s="84"/>
      <c r="F77" s="122" t="str">
        <f t="shared" si="8"/>
        <v/>
      </c>
      <c r="G77" s="117"/>
      <c r="H77" s="117"/>
      <c r="I77" s="117"/>
      <c r="J77" s="84"/>
      <c r="L77" s="75" t="str">
        <f t="shared" si="9"/>
        <v/>
      </c>
      <c r="M77" s="75" t="str">
        <f t="shared" si="10"/>
        <v/>
      </c>
      <c r="R77" s="5">
        <v>663240000</v>
      </c>
      <c r="S77" s="5" t="s">
        <v>1686</v>
      </c>
      <c r="T77" s="5">
        <v>61</v>
      </c>
      <c r="U77" s="5" t="s">
        <v>1683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6"/>
        <v/>
      </c>
      <c r="D78" s="72" t="str">
        <f t="shared" si="7"/>
        <v/>
      </c>
      <c r="E78" s="84"/>
      <c r="F78" s="122" t="str">
        <f t="shared" si="8"/>
        <v/>
      </c>
      <c r="G78" s="117"/>
      <c r="H78" s="117"/>
      <c r="I78" s="117"/>
      <c r="J78" s="84"/>
      <c r="L78" s="75" t="str">
        <f t="shared" si="9"/>
        <v/>
      </c>
      <c r="M78" s="75" t="str">
        <f t="shared" si="10"/>
        <v/>
      </c>
      <c r="R78" s="5">
        <v>663121000</v>
      </c>
      <c r="S78" s="5" t="s">
        <v>5256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6"/>
        <v/>
      </c>
      <c r="D79" s="72" t="str">
        <f t="shared" si="7"/>
        <v/>
      </c>
      <c r="E79" s="84"/>
      <c r="F79" s="122" t="str">
        <f t="shared" si="8"/>
        <v/>
      </c>
      <c r="G79" s="117"/>
      <c r="H79" s="117"/>
      <c r="I79" s="117"/>
      <c r="J79" s="84"/>
      <c r="L79" s="75" t="str">
        <f t="shared" si="9"/>
        <v/>
      </c>
      <c r="M79" s="75" t="str">
        <f t="shared" si="10"/>
        <v/>
      </c>
      <c r="R79" s="5">
        <v>663131000</v>
      </c>
      <c r="S79" s="5" t="s">
        <v>5257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6"/>
        <v/>
      </c>
      <c r="D80" s="72" t="str">
        <f t="shared" si="7"/>
        <v/>
      </c>
      <c r="E80" s="84"/>
      <c r="F80" s="122" t="str">
        <f t="shared" si="8"/>
        <v/>
      </c>
      <c r="G80" s="117"/>
      <c r="H80" s="117"/>
      <c r="I80" s="117"/>
      <c r="J80" s="84"/>
      <c r="L80" s="75" t="str">
        <f t="shared" si="9"/>
        <v/>
      </c>
      <c r="M80" s="75" t="str">
        <f t="shared" si="10"/>
        <v/>
      </c>
      <c r="R80" s="5">
        <v>663221000</v>
      </c>
      <c r="S80" s="5" t="s">
        <v>5258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6"/>
        <v/>
      </c>
      <c r="D81" s="72" t="str">
        <f t="shared" si="7"/>
        <v/>
      </c>
      <c r="E81" s="84"/>
      <c r="F81" s="122" t="str">
        <f t="shared" si="8"/>
        <v/>
      </c>
      <c r="G81" s="117"/>
      <c r="H81" s="117"/>
      <c r="I81" s="117"/>
      <c r="J81" s="84"/>
      <c r="L81" s="75" t="str">
        <f t="shared" si="9"/>
        <v/>
      </c>
      <c r="M81" s="75" t="str">
        <f t="shared" si="10"/>
        <v/>
      </c>
      <c r="R81" s="5">
        <v>663231000</v>
      </c>
      <c r="S81" s="5" t="s">
        <v>5259</v>
      </c>
      <c r="T81" s="5">
        <v>63</v>
      </c>
      <c r="U81" s="5" t="s">
        <v>5260</v>
      </c>
      <c r="V81">
        <v>663</v>
      </c>
      <c r="W81">
        <v>66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6"/>
        <v/>
      </c>
      <c r="D82" s="72" t="str">
        <f t="shared" si="7"/>
        <v/>
      </c>
      <c r="E82" s="84"/>
      <c r="F82" s="122" t="str">
        <f t="shared" si="8"/>
        <v/>
      </c>
      <c r="G82" s="117"/>
      <c r="H82" s="117"/>
      <c r="I82" s="117"/>
      <c r="J82" s="84"/>
      <c r="L82" s="75" t="str">
        <f t="shared" si="9"/>
        <v/>
      </c>
      <c r="M82" s="75" t="str">
        <f t="shared" si="10"/>
        <v/>
      </c>
      <c r="R82" s="5">
        <v>681910043</v>
      </c>
      <c r="S82" s="5" t="s">
        <v>215</v>
      </c>
      <c r="T82" s="5">
        <v>43</v>
      </c>
      <c r="U82" s="5" t="s">
        <v>96</v>
      </c>
      <c r="V82">
        <v>681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6"/>
        <v/>
      </c>
      <c r="D83" s="72" t="str">
        <f t="shared" si="7"/>
        <v/>
      </c>
      <c r="E83" s="84"/>
      <c r="F83" s="122" t="str">
        <f t="shared" si="8"/>
        <v/>
      </c>
      <c r="G83" s="117"/>
      <c r="H83" s="117"/>
      <c r="I83" s="117"/>
      <c r="J83" s="84"/>
      <c r="L83" s="75" t="str">
        <f t="shared" si="9"/>
        <v/>
      </c>
      <c r="M83" s="75" t="str">
        <f t="shared" si="10"/>
        <v/>
      </c>
      <c r="R83" s="5">
        <v>683110031</v>
      </c>
      <c r="S83" s="5" t="s">
        <v>1687</v>
      </c>
      <c r="T83" s="5">
        <v>31</v>
      </c>
      <c r="U83" s="5" t="s">
        <v>91</v>
      </c>
      <c r="V83">
        <v>683</v>
      </c>
      <c r="W83">
        <v>68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6"/>
        <v/>
      </c>
      <c r="D84" s="72" t="str">
        <f t="shared" si="7"/>
        <v/>
      </c>
      <c r="E84" s="84"/>
      <c r="F84" s="122" t="str">
        <f t="shared" si="8"/>
        <v/>
      </c>
      <c r="G84" s="117"/>
      <c r="H84" s="117"/>
      <c r="I84" s="117"/>
      <c r="J84" s="84"/>
      <c r="L84" s="75" t="str">
        <f t="shared" si="9"/>
        <v/>
      </c>
      <c r="M84" s="75" t="str">
        <f t="shared" si="10"/>
        <v/>
      </c>
      <c r="R84" s="5">
        <v>683110043</v>
      </c>
      <c r="S84" s="5" t="s">
        <v>216</v>
      </c>
      <c r="T84" s="5">
        <v>43</v>
      </c>
      <c r="U84" s="5" t="s">
        <v>96</v>
      </c>
      <c r="V84">
        <v>683</v>
      </c>
      <c r="W84">
        <v>68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6"/>
        <v/>
      </c>
      <c r="D85" s="72" t="str">
        <f t="shared" si="7"/>
        <v/>
      </c>
      <c r="E85" s="84"/>
      <c r="F85" s="122" t="str">
        <f t="shared" si="8"/>
        <v/>
      </c>
      <c r="G85" s="117"/>
      <c r="H85" s="117"/>
      <c r="I85" s="117"/>
      <c r="J85" s="84"/>
      <c r="L85" s="75" t="str">
        <f t="shared" si="9"/>
        <v/>
      </c>
      <c r="M85" s="75" t="str">
        <f t="shared" si="10"/>
        <v/>
      </c>
      <c r="R85" s="5">
        <v>711110071</v>
      </c>
      <c r="S85" s="5" t="s">
        <v>1688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6"/>
        <v/>
      </c>
      <c r="D86" s="72" t="str">
        <f t="shared" si="7"/>
        <v/>
      </c>
      <c r="E86" s="84"/>
      <c r="F86" s="122" t="str">
        <f t="shared" si="8"/>
        <v/>
      </c>
      <c r="G86" s="117"/>
      <c r="H86" s="117"/>
      <c r="I86" s="117"/>
      <c r="J86" s="84"/>
      <c r="L86" s="75" t="str">
        <f t="shared" si="9"/>
        <v/>
      </c>
      <c r="M86" s="75" t="str">
        <f t="shared" si="10"/>
        <v/>
      </c>
      <c r="R86" s="5">
        <v>711120071</v>
      </c>
      <c r="S86" s="5" t="s">
        <v>1690</v>
      </c>
      <c r="T86" s="5">
        <v>71</v>
      </c>
      <c r="U86" s="5" t="s">
        <v>1689</v>
      </c>
      <c r="V86">
        <v>711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6"/>
        <v/>
      </c>
      <c r="D87" s="72" t="str">
        <f t="shared" si="7"/>
        <v/>
      </c>
      <c r="E87" s="84"/>
      <c r="F87" s="122" t="str">
        <f t="shared" si="8"/>
        <v/>
      </c>
      <c r="G87" s="117"/>
      <c r="H87" s="117"/>
      <c r="I87" s="117"/>
      <c r="J87" s="84"/>
      <c r="L87" s="75" t="str">
        <f t="shared" si="9"/>
        <v/>
      </c>
      <c r="M87" s="75" t="str">
        <f t="shared" si="10"/>
        <v/>
      </c>
      <c r="R87" s="5">
        <v>712410071</v>
      </c>
      <c r="S87" s="5" t="s">
        <v>218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6"/>
        <v/>
      </c>
      <c r="D88" s="72" t="str">
        <f t="shared" si="7"/>
        <v/>
      </c>
      <c r="E88" s="84"/>
      <c r="F88" s="122" t="str">
        <f t="shared" si="8"/>
        <v/>
      </c>
      <c r="G88" s="117"/>
      <c r="H88" s="117"/>
      <c r="I88" s="117"/>
      <c r="J88" s="84"/>
      <c r="L88" s="75" t="str">
        <f t="shared" si="9"/>
        <v/>
      </c>
      <c r="M88" s="75" t="str">
        <f t="shared" si="10"/>
        <v/>
      </c>
      <c r="R88" s="5">
        <v>712490071</v>
      </c>
      <c r="S88" s="5" t="s">
        <v>219</v>
      </c>
      <c r="T88" s="5">
        <v>71</v>
      </c>
      <c r="U88" s="5" t="s">
        <v>1689</v>
      </c>
      <c r="V88">
        <v>712</v>
      </c>
      <c r="W88">
        <v>71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6"/>
        <v/>
      </c>
      <c r="D89" s="72" t="str">
        <f t="shared" si="7"/>
        <v/>
      </c>
      <c r="E89" s="84"/>
      <c r="F89" s="122" t="str">
        <f t="shared" si="8"/>
        <v/>
      </c>
      <c r="G89" s="117"/>
      <c r="H89" s="117"/>
      <c r="I89" s="117"/>
      <c r="J89" s="84"/>
      <c r="L89" s="75" t="str">
        <f t="shared" si="9"/>
        <v/>
      </c>
      <c r="M89" s="75" t="str">
        <f t="shared" si="10"/>
        <v/>
      </c>
      <c r="R89" s="5">
        <v>721110071</v>
      </c>
      <c r="S89" s="5" t="s">
        <v>220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6"/>
        <v/>
      </c>
      <c r="D90" s="72" t="str">
        <f t="shared" si="7"/>
        <v/>
      </c>
      <c r="E90" s="84"/>
      <c r="F90" s="122" t="str">
        <f t="shared" si="8"/>
        <v/>
      </c>
      <c r="G90" s="117"/>
      <c r="H90" s="117"/>
      <c r="I90" s="117"/>
      <c r="J90" s="84"/>
      <c r="L90" s="75" t="str">
        <f t="shared" si="9"/>
        <v/>
      </c>
      <c r="M90" s="75" t="str">
        <f t="shared" si="10"/>
        <v/>
      </c>
      <c r="R90" s="5">
        <v>721190071</v>
      </c>
      <c r="S90" s="5" t="s">
        <v>221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6"/>
        <v/>
      </c>
      <c r="D91" s="72" t="str">
        <f t="shared" si="7"/>
        <v/>
      </c>
      <c r="E91" s="84"/>
      <c r="F91" s="122" t="str">
        <f t="shared" si="8"/>
        <v/>
      </c>
      <c r="G91" s="117"/>
      <c r="H91" s="117"/>
      <c r="I91" s="117"/>
      <c r="J91" s="84"/>
      <c r="L91" s="75" t="str">
        <f t="shared" si="9"/>
        <v/>
      </c>
      <c r="M91" s="75" t="str">
        <f t="shared" si="10"/>
        <v/>
      </c>
      <c r="R91" s="5">
        <v>721230071</v>
      </c>
      <c r="S91" s="5" t="s">
        <v>222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6"/>
        <v/>
      </c>
      <c r="D92" s="72" t="str">
        <f t="shared" si="7"/>
        <v/>
      </c>
      <c r="E92" s="84"/>
      <c r="F92" s="122" t="str">
        <f t="shared" si="8"/>
        <v/>
      </c>
      <c r="G92" s="117"/>
      <c r="H92" s="117"/>
      <c r="I92" s="117"/>
      <c r="J92" s="84"/>
      <c r="L92" s="75" t="str">
        <f t="shared" si="9"/>
        <v/>
      </c>
      <c r="M92" s="75" t="str">
        <f t="shared" si="10"/>
        <v/>
      </c>
      <c r="R92" s="5">
        <v>721290071</v>
      </c>
      <c r="S92" s="5" t="s">
        <v>223</v>
      </c>
      <c r="T92" s="5">
        <v>71</v>
      </c>
      <c r="U92" s="5" t="s">
        <v>1689</v>
      </c>
      <c r="V92">
        <v>721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6"/>
        <v/>
      </c>
      <c r="D93" s="72" t="str">
        <f t="shared" si="7"/>
        <v/>
      </c>
      <c r="E93" s="84"/>
      <c r="F93" s="122" t="str">
        <f t="shared" si="8"/>
        <v/>
      </c>
      <c r="G93" s="117"/>
      <c r="H93" s="117"/>
      <c r="I93" s="117"/>
      <c r="J93" s="84"/>
      <c r="L93" s="75" t="str">
        <f t="shared" si="9"/>
        <v/>
      </c>
      <c r="M93" s="75" t="str">
        <f t="shared" si="10"/>
        <v/>
      </c>
      <c r="R93" s="5">
        <v>722110071</v>
      </c>
      <c r="S93" s="5" t="s">
        <v>224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6"/>
        <v/>
      </c>
      <c r="D94" s="72" t="str">
        <f t="shared" si="7"/>
        <v/>
      </c>
      <c r="E94" s="84"/>
      <c r="F94" s="122" t="str">
        <f t="shared" si="8"/>
        <v/>
      </c>
      <c r="G94" s="117"/>
      <c r="H94" s="117"/>
      <c r="I94" s="117"/>
      <c r="J94" s="84"/>
      <c r="L94" s="75" t="str">
        <f t="shared" si="9"/>
        <v/>
      </c>
      <c r="M94" s="75" t="str">
        <f t="shared" si="10"/>
        <v/>
      </c>
      <c r="R94" s="5">
        <v>722120071</v>
      </c>
      <c r="S94" s="5" t="s">
        <v>1691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6"/>
        <v/>
      </c>
      <c r="D95" s="72" t="str">
        <f t="shared" si="7"/>
        <v/>
      </c>
      <c r="E95" s="84"/>
      <c r="F95" s="122" t="str">
        <f t="shared" si="8"/>
        <v/>
      </c>
      <c r="G95" s="117"/>
      <c r="H95" s="117"/>
      <c r="I95" s="117"/>
      <c r="J95" s="84"/>
      <c r="L95" s="75" t="str">
        <f t="shared" si="9"/>
        <v/>
      </c>
      <c r="M95" s="75" t="str">
        <f t="shared" si="10"/>
        <v/>
      </c>
      <c r="R95" s="5">
        <v>722190071</v>
      </c>
      <c r="S95" s="5" t="s">
        <v>225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6"/>
        <v/>
      </c>
      <c r="D96" s="72" t="str">
        <f t="shared" si="7"/>
        <v/>
      </c>
      <c r="E96" s="84"/>
      <c r="F96" s="122" t="str">
        <f t="shared" si="8"/>
        <v/>
      </c>
      <c r="G96" s="117"/>
      <c r="H96" s="117"/>
      <c r="I96" s="117"/>
      <c r="J96" s="84"/>
      <c r="L96" s="75" t="str">
        <f t="shared" si="9"/>
        <v/>
      </c>
      <c r="M96" s="75" t="str">
        <f t="shared" si="10"/>
        <v/>
      </c>
      <c r="R96" s="5">
        <v>722620071</v>
      </c>
      <c r="S96" s="5" t="s">
        <v>226</v>
      </c>
      <c r="T96" s="5">
        <v>71</v>
      </c>
      <c r="U96" s="5" t="s">
        <v>1689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6"/>
        <v/>
      </c>
      <c r="D97" s="72" t="str">
        <f t="shared" si="7"/>
        <v/>
      </c>
      <c r="E97" s="84"/>
      <c r="F97" s="122" t="str">
        <f t="shared" si="8"/>
        <v/>
      </c>
      <c r="G97" s="117"/>
      <c r="H97" s="117"/>
      <c r="I97" s="117"/>
      <c r="J97" s="84"/>
      <c r="L97" s="75" t="str">
        <f t="shared" si="9"/>
        <v/>
      </c>
      <c r="M97" s="75" t="str">
        <f t="shared" si="10"/>
        <v/>
      </c>
      <c r="R97" s="5">
        <v>722720071</v>
      </c>
      <c r="S97" s="5" t="s">
        <v>1786</v>
      </c>
      <c r="T97" s="5">
        <v>71</v>
      </c>
      <c r="U97" s="5" t="s">
        <v>173</v>
      </c>
      <c r="V97">
        <v>722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6"/>
        <v/>
      </c>
      <c r="D98" s="72" t="str">
        <f t="shared" si="7"/>
        <v/>
      </c>
      <c r="E98" s="84"/>
      <c r="F98" s="122" t="str">
        <f t="shared" si="8"/>
        <v/>
      </c>
      <c r="G98" s="117"/>
      <c r="H98" s="117"/>
      <c r="I98" s="117"/>
      <c r="J98" s="84"/>
      <c r="L98" s="75" t="str">
        <f t="shared" si="9"/>
        <v/>
      </c>
      <c r="M98" s="75" t="str">
        <f t="shared" si="10"/>
        <v/>
      </c>
      <c r="R98" s="5">
        <v>722730071</v>
      </c>
      <c r="S98" s="5" t="s">
        <v>227</v>
      </c>
      <c r="T98" s="5">
        <v>71</v>
      </c>
      <c r="U98" s="5" t="s">
        <v>1689</v>
      </c>
      <c r="V98">
        <v>722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6"/>
        <v/>
      </c>
      <c r="D99" s="72" t="str">
        <f t="shared" si="7"/>
        <v/>
      </c>
      <c r="E99" s="84"/>
      <c r="F99" s="122" t="str">
        <f t="shared" si="8"/>
        <v/>
      </c>
      <c r="G99" s="117"/>
      <c r="H99" s="117"/>
      <c r="I99" s="117"/>
      <c r="J99" s="84"/>
      <c r="L99" s="75" t="str">
        <f t="shared" si="9"/>
        <v/>
      </c>
      <c r="M99" s="75" t="str">
        <f t="shared" si="10"/>
        <v/>
      </c>
      <c r="R99" s="5">
        <v>723110071</v>
      </c>
      <c r="S99" s="5" t="s">
        <v>228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6"/>
        <v/>
      </c>
      <c r="D100" s="72" t="str">
        <f t="shared" si="7"/>
        <v/>
      </c>
      <c r="E100" s="84"/>
      <c r="F100" s="122" t="str">
        <f t="shared" si="8"/>
        <v/>
      </c>
      <c r="G100" s="117"/>
      <c r="H100" s="117"/>
      <c r="I100" s="117"/>
      <c r="J100" s="84"/>
      <c r="L100" s="75" t="str">
        <f t="shared" si="9"/>
        <v/>
      </c>
      <c r="M100" s="75" t="str">
        <f t="shared" si="10"/>
        <v/>
      </c>
      <c r="R100" s="5">
        <v>723130071</v>
      </c>
      <c r="S100" s="5" t="s">
        <v>1692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6"/>
        <v/>
      </c>
      <c r="D101" s="72" t="str">
        <f t="shared" si="7"/>
        <v/>
      </c>
      <c r="E101" s="84"/>
      <c r="F101" s="122" t="str">
        <f t="shared" si="8"/>
        <v/>
      </c>
      <c r="G101" s="117"/>
      <c r="H101" s="117"/>
      <c r="I101" s="117"/>
      <c r="J101" s="84"/>
      <c r="L101" s="75" t="str">
        <f t="shared" si="9"/>
        <v/>
      </c>
      <c r="M101" s="75" t="str">
        <f t="shared" si="10"/>
        <v/>
      </c>
      <c r="R101" s="5">
        <v>723140071</v>
      </c>
      <c r="S101" s="5" t="s">
        <v>1693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6"/>
        <v/>
      </c>
      <c r="D102" s="72" t="str">
        <f t="shared" si="7"/>
        <v/>
      </c>
      <c r="E102" s="84"/>
      <c r="F102" s="122" t="str">
        <f t="shared" si="8"/>
        <v/>
      </c>
      <c r="G102" s="117"/>
      <c r="H102" s="117"/>
      <c r="I102" s="117"/>
      <c r="J102" s="84"/>
      <c r="L102" s="75" t="str">
        <f t="shared" si="9"/>
        <v/>
      </c>
      <c r="M102" s="75" t="str">
        <f t="shared" si="10"/>
        <v/>
      </c>
      <c r="R102" s="5">
        <v>723150071</v>
      </c>
      <c r="S102" s="5" t="s">
        <v>1694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6"/>
        <v/>
      </c>
      <c r="D103" s="72" t="str">
        <f t="shared" si="7"/>
        <v/>
      </c>
      <c r="E103" s="84"/>
      <c r="F103" s="122" t="str">
        <f t="shared" si="8"/>
        <v/>
      </c>
      <c r="G103" s="117"/>
      <c r="H103" s="117"/>
      <c r="I103" s="117"/>
      <c r="J103" s="84"/>
      <c r="L103" s="75" t="str">
        <f t="shared" si="9"/>
        <v/>
      </c>
      <c r="M103" s="75" t="str">
        <f t="shared" si="10"/>
        <v/>
      </c>
      <c r="R103" s="5">
        <v>723160071</v>
      </c>
      <c r="S103" s="5" t="s">
        <v>1695</v>
      </c>
      <c r="T103" s="5">
        <v>71</v>
      </c>
      <c r="U103" s="5" t="s">
        <v>1689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6"/>
        <v/>
      </c>
      <c r="D104" s="72" t="str">
        <f t="shared" si="7"/>
        <v/>
      </c>
      <c r="E104" s="84"/>
      <c r="F104" s="122" t="str">
        <f t="shared" si="8"/>
        <v/>
      </c>
      <c r="G104" s="117"/>
      <c r="H104" s="117"/>
      <c r="I104" s="117"/>
      <c r="J104" s="84"/>
      <c r="L104" s="75" t="str">
        <f t="shared" si="9"/>
        <v/>
      </c>
      <c r="M104" s="75" t="str">
        <f t="shared" si="10"/>
        <v/>
      </c>
      <c r="R104" s="5">
        <v>723190071</v>
      </c>
      <c r="S104" s="5" t="s">
        <v>1787</v>
      </c>
      <c r="T104" s="5">
        <v>71</v>
      </c>
      <c r="U104" s="5" t="s">
        <v>173</v>
      </c>
      <c r="V104">
        <v>723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6"/>
        <v/>
      </c>
      <c r="D105" s="72" t="str">
        <f t="shared" si="7"/>
        <v/>
      </c>
      <c r="E105" s="84"/>
      <c r="F105" s="122" t="str">
        <f t="shared" si="8"/>
        <v/>
      </c>
      <c r="G105" s="117"/>
      <c r="H105" s="117"/>
      <c r="I105" s="117"/>
      <c r="J105" s="84"/>
      <c r="L105" s="75" t="str">
        <f t="shared" si="9"/>
        <v/>
      </c>
      <c r="M105" s="75" t="str">
        <f t="shared" si="10"/>
        <v/>
      </c>
      <c r="R105" s="5">
        <v>723310071</v>
      </c>
      <c r="S105" s="5" t="s">
        <v>1696</v>
      </c>
      <c r="T105" s="5">
        <v>71</v>
      </c>
      <c r="U105" s="5" t="s">
        <v>1689</v>
      </c>
      <c r="V105">
        <v>723</v>
      </c>
      <c r="W105">
        <v>72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6"/>
        <v/>
      </c>
      <c r="D106" s="72" t="str">
        <f t="shared" si="7"/>
        <v/>
      </c>
      <c r="E106" s="84"/>
      <c r="F106" s="122" t="str">
        <f t="shared" si="8"/>
        <v/>
      </c>
      <c r="G106" s="117"/>
      <c r="H106" s="117"/>
      <c r="I106" s="117"/>
      <c r="J106" s="84"/>
      <c r="L106" s="75" t="str">
        <f t="shared" si="9"/>
        <v/>
      </c>
      <c r="M106" s="75" t="str">
        <f t="shared" si="10"/>
        <v/>
      </c>
      <c r="R106" s="5">
        <v>725210071</v>
      </c>
      <c r="S106" s="5" t="s">
        <v>229</v>
      </c>
      <c r="T106" s="5">
        <v>71</v>
      </c>
      <c r="U106" s="5" t="s">
        <v>1689</v>
      </c>
      <c r="V106">
        <v>725</v>
      </c>
      <c r="W106">
        <v>72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6"/>
        <v/>
      </c>
      <c r="D107" s="72" t="str">
        <f t="shared" si="7"/>
        <v/>
      </c>
      <c r="E107" s="84"/>
      <c r="F107" s="122" t="str">
        <f t="shared" si="8"/>
        <v/>
      </c>
      <c r="G107" s="117"/>
      <c r="H107" s="117"/>
      <c r="I107" s="117"/>
      <c r="J107" s="84"/>
      <c r="L107" s="75" t="str">
        <f t="shared" si="9"/>
        <v/>
      </c>
      <c r="M107" s="75" t="str">
        <f t="shared" si="10"/>
        <v/>
      </c>
      <c r="R107" s="5">
        <v>818110043</v>
      </c>
      <c r="S107" s="5" t="s">
        <v>1788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6"/>
        <v/>
      </c>
      <c r="D108" s="72" t="str">
        <f t="shared" si="7"/>
        <v/>
      </c>
      <c r="E108" s="84"/>
      <c r="F108" s="122" t="str">
        <f t="shared" si="8"/>
        <v/>
      </c>
      <c r="G108" s="117"/>
      <c r="H108" s="117"/>
      <c r="I108" s="117"/>
      <c r="J108" s="84"/>
      <c r="L108" s="75" t="str">
        <f t="shared" si="9"/>
        <v/>
      </c>
      <c r="M108" s="75" t="str">
        <f t="shared" si="10"/>
        <v/>
      </c>
      <c r="R108" s="5">
        <v>818120043</v>
      </c>
      <c r="S108" s="5" t="s">
        <v>1227</v>
      </c>
      <c r="T108" s="5">
        <v>43</v>
      </c>
      <c r="U108" s="5" t="s">
        <v>96</v>
      </c>
      <c r="V108">
        <v>818</v>
      </c>
      <c r="W108">
        <v>81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6"/>
        <v/>
      </c>
      <c r="D109" s="72" t="str">
        <f t="shared" si="7"/>
        <v/>
      </c>
      <c r="E109" s="84"/>
      <c r="F109" s="122" t="str">
        <f t="shared" si="8"/>
        <v/>
      </c>
      <c r="G109" s="117"/>
      <c r="H109" s="117"/>
      <c r="I109" s="117"/>
      <c r="J109" s="84"/>
      <c r="L109" s="75" t="str">
        <f t="shared" si="9"/>
        <v/>
      </c>
      <c r="M109" s="75" t="str">
        <f t="shared" si="10"/>
        <v/>
      </c>
      <c r="R109" s="5">
        <v>832120043</v>
      </c>
      <c r="S109" s="5" t="s">
        <v>1228</v>
      </c>
      <c r="T109" s="5">
        <v>43</v>
      </c>
      <c r="U109" s="5" t="s">
        <v>96</v>
      </c>
      <c r="V109">
        <v>832</v>
      </c>
      <c r="W109">
        <v>83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6"/>
        <v/>
      </c>
      <c r="D110" s="72" t="str">
        <f t="shared" si="7"/>
        <v/>
      </c>
      <c r="E110" s="84"/>
      <c r="F110" s="122" t="str">
        <f t="shared" si="8"/>
        <v/>
      </c>
      <c r="G110" s="117"/>
      <c r="H110" s="117"/>
      <c r="I110" s="117"/>
      <c r="J110" s="84"/>
      <c r="L110" s="75" t="str">
        <f t="shared" si="9"/>
        <v/>
      </c>
      <c r="M110" s="75" t="str">
        <f t="shared" si="10"/>
        <v/>
      </c>
      <c r="R110" s="5">
        <v>833130043</v>
      </c>
      <c r="S110" s="5" t="s">
        <v>1698</v>
      </c>
      <c r="T110" s="5">
        <v>43</v>
      </c>
      <c r="U110" s="5" t="s">
        <v>96</v>
      </c>
      <c r="V110">
        <v>833</v>
      </c>
      <c r="W110">
        <v>83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6"/>
        <v/>
      </c>
      <c r="D111" s="72" t="str">
        <f t="shared" si="7"/>
        <v/>
      </c>
      <c r="E111" s="84"/>
      <c r="F111" s="122" t="str">
        <f t="shared" si="8"/>
        <v/>
      </c>
      <c r="G111" s="117"/>
      <c r="H111" s="117"/>
      <c r="I111" s="117"/>
      <c r="J111" s="84"/>
      <c r="L111" s="75" t="str">
        <f t="shared" si="9"/>
        <v/>
      </c>
      <c r="M111" s="75" t="str">
        <f t="shared" si="10"/>
        <v/>
      </c>
      <c r="R111" s="5">
        <v>841320000</v>
      </c>
      <c r="S111" s="5" t="s">
        <v>1784</v>
      </c>
      <c r="T111" s="5">
        <v>81</v>
      </c>
      <c r="U111" s="5" t="s">
        <v>1697</v>
      </c>
      <c r="V111">
        <v>841</v>
      </c>
      <c r="W111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6"/>
        <v/>
      </c>
      <c r="D112" s="72" t="str">
        <f t="shared" si="7"/>
        <v/>
      </c>
      <c r="E112" s="84"/>
      <c r="F112" s="122" t="str">
        <f t="shared" si="8"/>
        <v/>
      </c>
      <c r="G112" s="117"/>
      <c r="H112" s="117"/>
      <c r="I112" s="117"/>
      <c r="J112" s="84"/>
      <c r="L112" s="75" t="str">
        <f t="shared" si="9"/>
        <v/>
      </c>
      <c r="M112" s="75" t="str">
        <f t="shared" si="10"/>
        <v/>
      </c>
      <c r="R112" s="221">
        <v>841320150</v>
      </c>
      <c r="S112" s="221" t="s">
        <v>3525</v>
      </c>
      <c r="T112" s="221">
        <v>81</v>
      </c>
      <c r="U112" s="221" t="s">
        <v>1697</v>
      </c>
      <c r="V112" s="142">
        <v>841</v>
      </c>
      <c r="W112" s="142">
        <v>84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6"/>
        <v/>
      </c>
      <c r="D113" s="72" t="str">
        <f t="shared" si="7"/>
        <v/>
      </c>
      <c r="E113" s="84"/>
      <c r="F113" s="122" t="str">
        <f t="shared" si="8"/>
        <v/>
      </c>
      <c r="G113" s="117"/>
      <c r="H113" s="117"/>
      <c r="I113" s="117"/>
      <c r="J113" s="84"/>
      <c r="L113" s="75" t="str">
        <f t="shared" si="9"/>
        <v/>
      </c>
      <c r="M113" s="75" t="str">
        <f t="shared" si="10"/>
        <v/>
      </c>
      <c r="R113" s="221">
        <v>844320000</v>
      </c>
      <c r="S113" s="221" t="s">
        <v>5255</v>
      </c>
      <c r="T113" s="221">
        <v>81</v>
      </c>
      <c r="U113" s="221" t="s">
        <v>1697</v>
      </c>
      <c r="V113" s="142">
        <v>844</v>
      </c>
      <c r="W113" s="142">
        <v>84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6"/>
        <v/>
      </c>
      <c r="D114" s="72" t="str">
        <f t="shared" si="7"/>
        <v/>
      </c>
      <c r="E114" s="84"/>
      <c r="F114" s="122" t="str">
        <f t="shared" si="8"/>
        <v/>
      </c>
      <c r="G114" s="117"/>
      <c r="H114" s="117"/>
      <c r="I114" s="117"/>
      <c r="J114" s="84"/>
      <c r="L114" s="75" t="str">
        <f t="shared" si="9"/>
        <v/>
      </c>
      <c r="M114" s="75" t="str">
        <f t="shared" si="10"/>
        <v/>
      </c>
      <c r="R114" s="5">
        <v>842220081</v>
      </c>
      <c r="S114" s="5" t="s">
        <v>1699</v>
      </c>
      <c r="T114" s="5">
        <v>81</v>
      </c>
      <c r="U114" s="5" t="s">
        <v>1697</v>
      </c>
      <c r="V114">
        <v>842</v>
      </c>
      <c r="W114">
        <v>84</v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6"/>
        <v/>
      </c>
      <c r="D115" s="72" t="str">
        <f t="shared" si="7"/>
        <v/>
      </c>
      <c r="E115" s="84"/>
      <c r="F115" s="122" t="str">
        <f t="shared" si="8"/>
        <v/>
      </c>
      <c r="G115" s="117"/>
      <c r="H115" s="117"/>
      <c r="I115" s="117"/>
      <c r="J115" s="84"/>
      <c r="L115" s="75" t="str">
        <f t="shared" si="9"/>
        <v/>
      </c>
      <c r="M115" s="75" t="str">
        <f t="shared" si="10"/>
        <v/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6"/>
        <v/>
      </c>
      <c r="D116" s="72" t="str">
        <f t="shared" si="7"/>
        <v/>
      </c>
      <c r="E116" s="84"/>
      <c r="F116" s="122" t="str">
        <f t="shared" si="8"/>
        <v/>
      </c>
      <c r="G116" s="117"/>
      <c r="H116" s="117"/>
      <c r="I116" s="117"/>
      <c r="J116" s="84"/>
      <c r="L116" s="75" t="str">
        <f t="shared" si="9"/>
        <v/>
      </c>
      <c r="M116" s="75" t="str">
        <f t="shared" si="10"/>
        <v/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6"/>
        <v/>
      </c>
      <c r="D117" s="72" t="str">
        <f t="shared" si="7"/>
        <v/>
      </c>
      <c r="E117" s="84"/>
      <c r="F117" s="122" t="str">
        <f t="shared" si="8"/>
        <v/>
      </c>
      <c r="G117" s="117"/>
      <c r="H117" s="117"/>
      <c r="I117" s="117"/>
      <c r="J117" s="84"/>
      <c r="L117" s="75" t="str">
        <f t="shared" si="9"/>
        <v/>
      </c>
      <c r="M117" s="75" t="str">
        <f t="shared" si="10"/>
        <v/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6"/>
        <v/>
      </c>
      <c r="D118" s="72" t="str">
        <f t="shared" si="7"/>
        <v/>
      </c>
      <c r="E118" s="84"/>
      <c r="F118" s="122" t="str">
        <f t="shared" si="8"/>
        <v/>
      </c>
      <c r="G118" s="117"/>
      <c r="H118" s="117"/>
      <c r="I118" s="117"/>
      <c r="J118" s="84"/>
      <c r="L118" s="75" t="str">
        <f t="shared" si="9"/>
        <v/>
      </c>
      <c r="M118" s="75" t="str">
        <f t="shared" si="10"/>
        <v/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6"/>
        <v/>
      </c>
      <c r="D119" s="72" t="str">
        <f t="shared" si="7"/>
        <v/>
      </c>
      <c r="E119" s="84"/>
      <c r="F119" s="122" t="str">
        <f t="shared" si="8"/>
        <v/>
      </c>
      <c r="G119" s="117"/>
      <c r="H119" s="117"/>
      <c r="I119" s="117"/>
      <c r="J119" s="84"/>
      <c r="L119" s="75" t="str">
        <f t="shared" si="9"/>
        <v/>
      </c>
      <c r="M119" s="75" t="str">
        <f t="shared" si="10"/>
        <v/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6"/>
        <v/>
      </c>
      <c r="D120" s="72" t="str">
        <f t="shared" si="7"/>
        <v/>
      </c>
      <c r="E120" s="84"/>
      <c r="F120" s="122" t="str">
        <f t="shared" si="8"/>
        <v/>
      </c>
      <c r="G120" s="117"/>
      <c r="H120" s="117"/>
      <c r="I120" s="117"/>
      <c r="J120" s="84"/>
      <c r="L120" s="75" t="str">
        <f t="shared" si="9"/>
        <v/>
      </c>
      <c r="M120" s="75" t="str">
        <f t="shared" si="10"/>
        <v/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6"/>
        <v/>
      </c>
      <c r="D121" s="72" t="str">
        <f t="shared" si="7"/>
        <v/>
      </c>
      <c r="E121" s="84"/>
      <c r="F121" s="122" t="str">
        <f t="shared" si="8"/>
        <v/>
      </c>
      <c r="G121" s="117"/>
      <c r="H121" s="117"/>
      <c r="I121" s="117"/>
      <c r="J121" s="84"/>
      <c r="L121" s="75" t="str">
        <f t="shared" si="9"/>
        <v/>
      </c>
      <c r="M121" s="75" t="str">
        <f t="shared" si="10"/>
        <v/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6"/>
        <v/>
      </c>
      <c r="D122" s="72" t="str">
        <f t="shared" si="7"/>
        <v/>
      </c>
      <c r="E122" s="84"/>
      <c r="F122" s="122" t="str">
        <f t="shared" si="8"/>
        <v/>
      </c>
      <c r="G122" s="117"/>
      <c r="H122" s="117"/>
      <c r="I122" s="117"/>
      <c r="J122" s="84"/>
      <c r="L122" s="75" t="str">
        <f t="shared" si="9"/>
        <v/>
      </c>
      <c r="M122" s="75" t="str">
        <f t="shared" si="10"/>
        <v/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6"/>
        <v/>
      </c>
      <c r="D123" s="72" t="str">
        <f t="shared" si="7"/>
        <v/>
      </c>
      <c r="E123" s="84"/>
      <c r="F123" s="122" t="str">
        <f t="shared" si="8"/>
        <v/>
      </c>
      <c r="G123" s="117"/>
      <c r="H123" s="117"/>
      <c r="I123" s="117"/>
      <c r="J123" s="84"/>
      <c r="L123" s="75" t="str">
        <f t="shared" si="9"/>
        <v/>
      </c>
      <c r="M123" s="75" t="str">
        <f t="shared" si="10"/>
        <v/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6"/>
        <v/>
      </c>
      <c r="D124" s="72" t="str">
        <f t="shared" si="7"/>
        <v/>
      </c>
      <c r="E124" s="84"/>
      <c r="F124" s="122" t="str">
        <f t="shared" si="8"/>
        <v/>
      </c>
      <c r="G124" s="117"/>
      <c r="H124" s="117"/>
      <c r="I124" s="117"/>
      <c r="J124" s="84"/>
      <c r="L124" s="75" t="str">
        <f t="shared" si="9"/>
        <v/>
      </c>
      <c r="M124" s="75" t="str">
        <f t="shared" si="10"/>
        <v/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6"/>
        <v/>
      </c>
      <c r="D125" s="72" t="str">
        <f t="shared" si="7"/>
        <v/>
      </c>
      <c r="E125" s="84"/>
      <c r="F125" s="122" t="str">
        <f t="shared" si="8"/>
        <v/>
      </c>
      <c r="G125" s="117"/>
      <c r="H125" s="117"/>
      <c r="I125" s="117"/>
      <c r="J125" s="84"/>
      <c r="L125" s="75" t="str">
        <f t="shared" si="9"/>
        <v/>
      </c>
      <c r="M125" s="75" t="str">
        <f t="shared" si="10"/>
        <v/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6"/>
        <v/>
      </c>
      <c r="D126" s="72" t="str">
        <f t="shared" si="7"/>
        <v/>
      </c>
      <c r="E126" s="84"/>
      <c r="F126" s="122" t="str">
        <f t="shared" si="8"/>
        <v/>
      </c>
      <c r="G126" s="117"/>
      <c r="H126" s="117"/>
      <c r="I126" s="117"/>
      <c r="J126" s="84"/>
      <c r="L126" s="75" t="str">
        <f t="shared" si="9"/>
        <v/>
      </c>
      <c r="M126" s="75" t="str">
        <f t="shared" si="10"/>
        <v/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6"/>
        <v/>
      </c>
      <c r="D127" s="72" t="str">
        <f t="shared" si="7"/>
        <v/>
      </c>
      <c r="E127" s="84"/>
      <c r="F127" s="122" t="str">
        <f t="shared" si="8"/>
        <v/>
      </c>
      <c r="G127" s="117"/>
      <c r="H127" s="117"/>
      <c r="I127" s="117"/>
      <c r="J127" s="84"/>
      <c r="L127" s="75" t="str">
        <f t="shared" si="9"/>
        <v/>
      </c>
      <c r="M127" s="75" t="str">
        <f t="shared" si="10"/>
        <v/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6"/>
        <v/>
      </c>
      <c r="D128" s="72" t="str">
        <f t="shared" si="7"/>
        <v/>
      </c>
      <c r="E128" s="84"/>
      <c r="F128" s="122" t="str">
        <f t="shared" si="8"/>
        <v/>
      </c>
      <c r="G128" s="117"/>
      <c r="H128" s="117"/>
      <c r="I128" s="117"/>
      <c r="J128" s="84"/>
      <c r="L128" s="75" t="str">
        <f t="shared" si="9"/>
        <v/>
      </c>
      <c r="M128" s="75" t="str">
        <f t="shared" si="10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6"/>
        <v/>
      </c>
      <c r="D129" s="72" t="str">
        <f t="shared" si="7"/>
        <v/>
      </c>
      <c r="E129" s="84"/>
      <c r="F129" s="122" t="str">
        <f t="shared" si="8"/>
        <v/>
      </c>
      <c r="G129" s="117"/>
      <c r="H129" s="117"/>
      <c r="I129" s="117"/>
      <c r="J129" s="84"/>
      <c r="L129" s="75" t="str">
        <f t="shared" si="9"/>
        <v/>
      </c>
      <c r="M129" s="75" t="str">
        <f t="shared" si="10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6"/>
        <v/>
      </c>
      <c r="D130" s="72" t="str">
        <f t="shared" si="7"/>
        <v/>
      </c>
      <c r="E130" s="84"/>
      <c r="F130" s="122" t="str">
        <f t="shared" si="8"/>
        <v/>
      </c>
      <c r="G130" s="117"/>
      <c r="H130" s="117"/>
      <c r="I130" s="117"/>
      <c r="J130" s="84"/>
      <c r="L130" s="75" t="str">
        <f t="shared" si="9"/>
        <v/>
      </c>
      <c r="M130" s="75" t="str">
        <f t="shared" si="10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6"/>
        <v/>
      </c>
      <c r="D131" s="72" t="str">
        <f t="shared" si="7"/>
        <v/>
      </c>
      <c r="E131" s="84"/>
      <c r="F131" s="122" t="str">
        <f t="shared" si="8"/>
        <v/>
      </c>
      <c r="G131" s="117"/>
      <c r="H131" s="117"/>
      <c r="I131" s="117"/>
      <c r="J131" s="84"/>
      <c r="L131" s="75" t="str">
        <f t="shared" si="9"/>
        <v/>
      </c>
      <c r="M131" s="75" t="str">
        <f t="shared" si="10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ref="C132:C195" si="11">IFERROR(VLOOKUP(E132,$R$6:$U$114,3,FALSE),"")</f>
        <v/>
      </c>
      <c r="D132" s="72" t="str">
        <f t="shared" ref="D132:D195" si="12">IFERROR(VLOOKUP(E132,$R$6:$U$114,4,FALSE),"")</f>
        <v/>
      </c>
      <c r="E132" s="84"/>
      <c r="F132" s="122" t="str">
        <f t="shared" ref="F132:F195" si="13">IFERROR(VLOOKUP(E132,$R$6:$U$114,2,FALSE),"")</f>
        <v/>
      </c>
      <c r="G132" s="117"/>
      <c r="H132" s="117"/>
      <c r="I132" s="117"/>
      <c r="J132" s="84"/>
      <c r="L132" s="75" t="str">
        <f t="shared" si="9"/>
        <v/>
      </c>
      <c r="M132" s="75" t="str">
        <f t="shared" si="10"/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1"/>
        <v/>
      </c>
      <c r="D133" s="72" t="str">
        <f t="shared" si="12"/>
        <v/>
      </c>
      <c r="E133" s="84"/>
      <c r="F133" s="122" t="str">
        <f t="shared" si="13"/>
        <v/>
      </c>
      <c r="G133" s="117"/>
      <c r="H133" s="117"/>
      <c r="I133" s="117"/>
      <c r="J133" s="84"/>
      <c r="L133" s="75" t="str">
        <f t="shared" ref="L133:L196" si="14">LEFT(E133,2)</f>
        <v/>
      </c>
      <c r="M133" s="75" t="str">
        <f t="shared" ref="M133:M196" si="15">LEFT(E133,3)</f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1"/>
        <v/>
      </c>
      <c r="D134" s="72" t="str">
        <f t="shared" si="12"/>
        <v/>
      </c>
      <c r="E134" s="84"/>
      <c r="F134" s="122" t="str">
        <f t="shared" si="13"/>
        <v/>
      </c>
      <c r="G134" s="117"/>
      <c r="H134" s="117"/>
      <c r="I134" s="117"/>
      <c r="J134" s="84"/>
      <c r="L134" s="75" t="str">
        <f t="shared" si="14"/>
        <v/>
      </c>
      <c r="M134" s="75" t="str">
        <f t="shared" si="15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1"/>
        <v/>
      </c>
      <c r="D135" s="72" t="str">
        <f t="shared" si="12"/>
        <v/>
      </c>
      <c r="E135" s="84"/>
      <c r="F135" s="122" t="str">
        <f t="shared" si="13"/>
        <v/>
      </c>
      <c r="G135" s="117"/>
      <c r="H135" s="117"/>
      <c r="I135" s="117"/>
      <c r="J135" s="84"/>
      <c r="L135" s="75" t="str">
        <f t="shared" si="14"/>
        <v/>
      </c>
      <c r="M135" s="75" t="str">
        <f t="shared" si="15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1"/>
        <v/>
      </c>
      <c r="D136" s="72" t="str">
        <f t="shared" si="12"/>
        <v/>
      </c>
      <c r="E136" s="84"/>
      <c r="F136" s="122" t="str">
        <f t="shared" si="13"/>
        <v/>
      </c>
      <c r="G136" s="117"/>
      <c r="H136" s="117"/>
      <c r="I136" s="117"/>
      <c r="J136" s="84"/>
      <c r="L136" s="75" t="str">
        <f t="shared" si="14"/>
        <v/>
      </c>
      <c r="M136" s="75" t="str">
        <f t="shared" si="15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1"/>
        <v/>
      </c>
      <c r="D137" s="72" t="str">
        <f t="shared" si="12"/>
        <v/>
      </c>
      <c r="E137" s="84"/>
      <c r="F137" s="122" t="str">
        <f t="shared" si="13"/>
        <v/>
      </c>
      <c r="G137" s="117"/>
      <c r="H137" s="117"/>
      <c r="I137" s="117"/>
      <c r="J137" s="84"/>
      <c r="L137" s="75" t="str">
        <f t="shared" si="14"/>
        <v/>
      </c>
      <c r="M137" s="75" t="str">
        <f t="shared" si="15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1"/>
        <v/>
      </c>
      <c r="D138" s="72" t="str">
        <f t="shared" si="12"/>
        <v/>
      </c>
      <c r="E138" s="84"/>
      <c r="F138" s="122" t="str">
        <f t="shared" si="13"/>
        <v/>
      </c>
      <c r="G138" s="117"/>
      <c r="H138" s="117"/>
      <c r="I138" s="117"/>
      <c r="J138" s="84"/>
      <c r="L138" s="75" t="str">
        <f t="shared" si="14"/>
        <v/>
      </c>
      <c r="M138" s="75" t="str">
        <f t="shared" si="15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1"/>
        <v/>
      </c>
      <c r="D139" s="72" t="str">
        <f t="shared" si="12"/>
        <v/>
      </c>
      <c r="E139" s="84"/>
      <c r="F139" s="122" t="str">
        <f t="shared" si="13"/>
        <v/>
      </c>
      <c r="G139" s="117"/>
      <c r="H139" s="117"/>
      <c r="I139" s="117"/>
      <c r="J139" s="84"/>
      <c r="L139" s="75" t="str">
        <f t="shared" si="14"/>
        <v/>
      </c>
      <c r="M139" s="75" t="str">
        <f t="shared" si="15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1"/>
        <v/>
      </c>
      <c r="D140" s="72" t="str">
        <f t="shared" si="12"/>
        <v/>
      </c>
      <c r="E140" s="84"/>
      <c r="F140" s="122" t="str">
        <f t="shared" si="13"/>
        <v/>
      </c>
      <c r="G140" s="117"/>
      <c r="H140" s="117"/>
      <c r="I140" s="117"/>
      <c r="J140" s="84"/>
      <c r="L140" s="75" t="str">
        <f t="shared" si="14"/>
        <v/>
      </c>
      <c r="M140" s="75" t="str">
        <f t="shared" si="15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1"/>
        <v/>
      </c>
      <c r="D141" s="72" t="str">
        <f t="shared" si="12"/>
        <v/>
      </c>
      <c r="E141" s="84"/>
      <c r="F141" s="122" t="str">
        <f t="shared" si="13"/>
        <v/>
      </c>
      <c r="G141" s="117"/>
      <c r="H141" s="117"/>
      <c r="I141" s="117"/>
      <c r="J141" s="84"/>
      <c r="L141" s="75" t="str">
        <f t="shared" si="14"/>
        <v/>
      </c>
      <c r="M141" s="75" t="str">
        <f t="shared" si="15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1"/>
        <v/>
      </c>
      <c r="D142" s="72" t="str">
        <f t="shared" si="12"/>
        <v/>
      </c>
      <c r="E142" s="84"/>
      <c r="F142" s="122" t="str">
        <f t="shared" si="13"/>
        <v/>
      </c>
      <c r="G142" s="117"/>
      <c r="H142" s="117"/>
      <c r="I142" s="117"/>
      <c r="J142" s="84"/>
      <c r="L142" s="75" t="str">
        <f t="shared" si="14"/>
        <v/>
      </c>
      <c r="M142" s="75" t="str">
        <f t="shared" si="15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1"/>
        <v/>
      </c>
      <c r="D143" s="72" t="str">
        <f t="shared" si="12"/>
        <v/>
      </c>
      <c r="E143" s="84"/>
      <c r="F143" s="122" t="str">
        <f t="shared" si="13"/>
        <v/>
      </c>
      <c r="G143" s="117"/>
      <c r="H143" s="117"/>
      <c r="I143" s="117"/>
      <c r="J143" s="84"/>
      <c r="L143" s="75" t="str">
        <f t="shared" si="14"/>
        <v/>
      </c>
      <c r="M143" s="75" t="str">
        <f t="shared" si="15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1"/>
        <v/>
      </c>
      <c r="D144" s="72" t="str">
        <f t="shared" si="12"/>
        <v/>
      </c>
      <c r="E144" s="84"/>
      <c r="F144" s="122" t="str">
        <f t="shared" si="13"/>
        <v/>
      </c>
      <c r="G144" s="117"/>
      <c r="H144" s="117"/>
      <c r="I144" s="117"/>
      <c r="J144" s="84"/>
      <c r="L144" s="75" t="str">
        <f t="shared" si="14"/>
        <v/>
      </c>
      <c r="M144" s="75" t="str">
        <f t="shared" si="15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1"/>
        <v/>
      </c>
      <c r="D145" s="72" t="str">
        <f t="shared" si="12"/>
        <v/>
      </c>
      <c r="E145" s="84"/>
      <c r="F145" s="122" t="str">
        <f t="shared" si="13"/>
        <v/>
      </c>
      <c r="G145" s="117"/>
      <c r="H145" s="117"/>
      <c r="I145" s="117"/>
      <c r="J145" s="84"/>
      <c r="L145" s="75" t="str">
        <f t="shared" si="14"/>
        <v/>
      </c>
      <c r="M145" s="75" t="str">
        <f t="shared" si="15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1"/>
        <v/>
      </c>
      <c r="D146" s="72" t="str">
        <f t="shared" si="12"/>
        <v/>
      </c>
      <c r="E146" s="84"/>
      <c r="F146" s="122" t="str">
        <f t="shared" si="13"/>
        <v/>
      </c>
      <c r="G146" s="117"/>
      <c r="H146" s="117"/>
      <c r="I146" s="117"/>
      <c r="J146" s="84"/>
      <c r="L146" s="75" t="str">
        <f t="shared" si="14"/>
        <v/>
      </c>
      <c r="M146" s="75" t="str">
        <f t="shared" si="15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1"/>
        <v/>
      </c>
      <c r="D147" s="72" t="str">
        <f t="shared" si="12"/>
        <v/>
      </c>
      <c r="E147" s="84"/>
      <c r="F147" s="122" t="str">
        <f t="shared" si="13"/>
        <v/>
      </c>
      <c r="G147" s="117"/>
      <c r="H147" s="117"/>
      <c r="I147" s="117"/>
      <c r="J147" s="84"/>
      <c r="L147" s="75" t="str">
        <f t="shared" si="14"/>
        <v/>
      </c>
      <c r="M147" s="75" t="str">
        <f t="shared" si="15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1"/>
        <v/>
      </c>
      <c r="D148" s="72" t="str">
        <f t="shared" si="12"/>
        <v/>
      </c>
      <c r="E148" s="84"/>
      <c r="F148" s="122" t="str">
        <f t="shared" si="13"/>
        <v/>
      </c>
      <c r="G148" s="117"/>
      <c r="H148" s="117"/>
      <c r="I148" s="117"/>
      <c r="J148" s="84"/>
      <c r="L148" s="75" t="str">
        <f t="shared" si="14"/>
        <v/>
      </c>
      <c r="M148" s="75" t="str">
        <f t="shared" si="15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1"/>
        <v/>
      </c>
      <c r="D149" s="72" t="str">
        <f t="shared" si="12"/>
        <v/>
      </c>
      <c r="E149" s="84"/>
      <c r="F149" s="122" t="str">
        <f t="shared" si="13"/>
        <v/>
      </c>
      <c r="G149" s="117"/>
      <c r="H149" s="117"/>
      <c r="I149" s="117"/>
      <c r="J149" s="84"/>
      <c r="L149" s="75" t="str">
        <f t="shared" si="14"/>
        <v/>
      </c>
      <c r="M149" s="75" t="str">
        <f t="shared" si="15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1"/>
        <v/>
      </c>
      <c r="D150" s="72" t="str">
        <f t="shared" si="12"/>
        <v/>
      </c>
      <c r="E150" s="84"/>
      <c r="F150" s="122" t="str">
        <f t="shared" si="13"/>
        <v/>
      </c>
      <c r="G150" s="117"/>
      <c r="H150" s="117"/>
      <c r="I150" s="117"/>
      <c r="J150" s="84"/>
      <c r="L150" s="75" t="str">
        <f t="shared" si="14"/>
        <v/>
      </c>
      <c r="M150" s="75" t="str">
        <f t="shared" si="15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1"/>
        <v/>
      </c>
      <c r="D151" s="72" t="str">
        <f t="shared" si="12"/>
        <v/>
      </c>
      <c r="E151" s="84"/>
      <c r="F151" s="122" t="str">
        <f t="shared" si="13"/>
        <v/>
      </c>
      <c r="G151" s="117"/>
      <c r="H151" s="117"/>
      <c r="I151" s="117"/>
      <c r="J151" s="84"/>
      <c r="L151" s="75" t="str">
        <f t="shared" si="14"/>
        <v/>
      </c>
      <c r="M151" s="75" t="str">
        <f t="shared" si="15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1"/>
        <v/>
      </c>
      <c r="D152" s="72" t="str">
        <f t="shared" si="12"/>
        <v/>
      </c>
      <c r="E152" s="84"/>
      <c r="F152" s="122" t="str">
        <f t="shared" si="13"/>
        <v/>
      </c>
      <c r="G152" s="117"/>
      <c r="H152" s="117"/>
      <c r="I152" s="117"/>
      <c r="J152" s="84"/>
      <c r="L152" s="75" t="str">
        <f t="shared" si="14"/>
        <v/>
      </c>
      <c r="M152" s="75" t="str">
        <f t="shared" si="15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1"/>
        <v/>
      </c>
      <c r="D153" s="72" t="str">
        <f t="shared" si="12"/>
        <v/>
      </c>
      <c r="E153" s="84"/>
      <c r="F153" s="122" t="str">
        <f t="shared" si="13"/>
        <v/>
      </c>
      <c r="G153" s="117"/>
      <c r="H153" s="117"/>
      <c r="I153" s="117"/>
      <c r="J153" s="84"/>
      <c r="L153" s="75" t="str">
        <f t="shared" si="14"/>
        <v/>
      </c>
      <c r="M153" s="75" t="str">
        <f t="shared" si="15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1"/>
        <v/>
      </c>
      <c r="D154" s="72" t="str">
        <f t="shared" si="12"/>
        <v/>
      </c>
      <c r="E154" s="84"/>
      <c r="F154" s="122" t="str">
        <f t="shared" si="13"/>
        <v/>
      </c>
      <c r="G154" s="117"/>
      <c r="H154" s="117"/>
      <c r="I154" s="117"/>
      <c r="J154" s="84"/>
      <c r="L154" s="75" t="str">
        <f t="shared" si="14"/>
        <v/>
      </c>
      <c r="M154" s="75" t="str">
        <f t="shared" si="15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1"/>
        <v/>
      </c>
      <c r="D155" s="72" t="str">
        <f t="shared" si="12"/>
        <v/>
      </c>
      <c r="E155" s="84"/>
      <c r="F155" s="122" t="str">
        <f t="shared" si="13"/>
        <v/>
      </c>
      <c r="G155" s="117"/>
      <c r="H155" s="117"/>
      <c r="I155" s="117"/>
      <c r="J155" s="84"/>
      <c r="L155" s="75" t="str">
        <f t="shared" si="14"/>
        <v/>
      </c>
      <c r="M155" s="75" t="str">
        <f t="shared" si="15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1"/>
        <v/>
      </c>
      <c r="D156" s="72" t="str">
        <f t="shared" si="12"/>
        <v/>
      </c>
      <c r="E156" s="84"/>
      <c r="F156" s="122" t="str">
        <f t="shared" si="13"/>
        <v/>
      </c>
      <c r="G156" s="117"/>
      <c r="H156" s="117"/>
      <c r="I156" s="117"/>
      <c r="J156" s="84"/>
      <c r="L156" s="75" t="str">
        <f t="shared" si="14"/>
        <v/>
      </c>
      <c r="M156" s="75" t="str">
        <f t="shared" si="15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1"/>
        <v/>
      </c>
      <c r="D157" s="72" t="str">
        <f t="shared" si="12"/>
        <v/>
      </c>
      <c r="E157" s="84"/>
      <c r="F157" s="122" t="str">
        <f t="shared" si="13"/>
        <v/>
      </c>
      <c r="G157" s="117"/>
      <c r="H157" s="117"/>
      <c r="I157" s="117"/>
      <c r="J157" s="84"/>
      <c r="L157" s="75" t="str">
        <f t="shared" si="14"/>
        <v/>
      </c>
      <c r="M157" s="75" t="str">
        <f t="shared" si="15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1"/>
        <v/>
      </c>
      <c r="D158" s="72" t="str">
        <f t="shared" si="12"/>
        <v/>
      </c>
      <c r="E158" s="84"/>
      <c r="F158" s="122" t="str">
        <f t="shared" si="13"/>
        <v/>
      </c>
      <c r="G158" s="117"/>
      <c r="H158" s="117"/>
      <c r="I158" s="117"/>
      <c r="J158" s="84"/>
      <c r="L158" s="75" t="str">
        <f t="shared" si="14"/>
        <v/>
      </c>
      <c r="M158" s="75" t="str">
        <f t="shared" si="15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1"/>
        <v/>
      </c>
      <c r="D159" s="72" t="str">
        <f t="shared" si="12"/>
        <v/>
      </c>
      <c r="E159" s="84"/>
      <c r="F159" s="122" t="str">
        <f t="shared" si="13"/>
        <v/>
      </c>
      <c r="G159" s="117"/>
      <c r="H159" s="117"/>
      <c r="I159" s="117"/>
      <c r="J159" s="84"/>
      <c r="L159" s="75" t="str">
        <f t="shared" si="14"/>
        <v/>
      </c>
      <c r="M159" s="75" t="str">
        <f t="shared" si="15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1"/>
        <v/>
      </c>
      <c r="D160" s="72" t="str">
        <f t="shared" si="12"/>
        <v/>
      </c>
      <c r="E160" s="84"/>
      <c r="F160" s="122" t="str">
        <f t="shared" si="13"/>
        <v/>
      </c>
      <c r="G160" s="117"/>
      <c r="H160" s="117"/>
      <c r="I160" s="117"/>
      <c r="J160" s="84"/>
      <c r="L160" s="75" t="str">
        <f t="shared" si="14"/>
        <v/>
      </c>
      <c r="M160" s="75" t="str">
        <f t="shared" si="15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1"/>
        <v/>
      </c>
      <c r="D161" s="72" t="str">
        <f t="shared" si="12"/>
        <v/>
      </c>
      <c r="E161" s="84"/>
      <c r="F161" s="122" t="str">
        <f t="shared" si="13"/>
        <v/>
      </c>
      <c r="G161" s="117"/>
      <c r="H161" s="117"/>
      <c r="I161" s="117"/>
      <c r="J161" s="84"/>
      <c r="L161" s="75" t="str">
        <f t="shared" si="14"/>
        <v/>
      </c>
      <c r="M161" s="75" t="str">
        <f t="shared" si="15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1"/>
        <v/>
      </c>
      <c r="D162" s="72" t="str">
        <f t="shared" si="12"/>
        <v/>
      </c>
      <c r="E162" s="84"/>
      <c r="F162" s="122" t="str">
        <f t="shared" si="13"/>
        <v/>
      </c>
      <c r="G162" s="117"/>
      <c r="H162" s="117"/>
      <c r="I162" s="117"/>
      <c r="J162" s="84"/>
      <c r="L162" s="75" t="str">
        <f t="shared" si="14"/>
        <v/>
      </c>
      <c r="M162" s="75" t="str">
        <f t="shared" si="15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1"/>
        <v/>
      </c>
      <c r="D163" s="72" t="str">
        <f t="shared" si="12"/>
        <v/>
      </c>
      <c r="E163" s="84"/>
      <c r="F163" s="122" t="str">
        <f t="shared" si="13"/>
        <v/>
      </c>
      <c r="G163" s="117"/>
      <c r="H163" s="117"/>
      <c r="I163" s="117"/>
      <c r="J163" s="84"/>
      <c r="L163" s="75" t="str">
        <f t="shared" si="14"/>
        <v/>
      </c>
      <c r="M163" s="75" t="str">
        <f t="shared" si="15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1"/>
        <v/>
      </c>
      <c r="D164" s="72" t="str">
        <f t="shared" si="12"/>
        <v/>
      </c>
      <c r="E164" s="84"/>
      <c r="F164" s="122" t="str">
        <f t="shared" si="13"/>
        <v/>
      </c>
      <c r="G164" s="117"/>
      <c r="H164" s="117"/>
      <c r="I164" s="117"/>
      <c r="J164" s="84"/>
      <c r="L164" s="75" t="str">
        <f t="shared" si="14"/>
        <v/>
      </c>
      <c r="M164" s="75" t="str">
        <f t="shared" si="15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1"/>
        <v/>
      </c>
      <c r="D165" s="72" t="str">
        <f t="shared" si="12"/>
        <v/>
      </c>
      <c r="E165" s="84"/>
      <c r="F165" s="122" t="str">
        <f t="shared" si="13"/>
        <v/>
      </c>
      <c r="G165" s="117"/>
      <c r="H165" s="117"/>
      <c r="I165" s="117"/>
      <c r="J165" s="84"/>
      <c r="L165" s="75" t="str">
        <f t="shared" si="14"/>
        <v/>
      </c>
      <c r="M165" s="75" t="str">
        <f t="shared" si="15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1"/>
        <v/>
      </c>
      <c r="D166" s="72" t="str">
        <f t="shared" si="12"/>
        <v/>
      </c>
      <c r="E166" s="84"/>
      <c r="F166" s="122" t="str">
        <f t="shared" si="13"/>
        <v/>
      </c>
      <c r="G166" s="117"/>
      <c r="H166" s="117"/>
      <c r="I166" s="117"/>
      <c r="J166" s="84"/>
      <c r="L166" s="75" t="str">
        <f t="shared" si="14"/>
        <v/>
      </c>
      <c r="M166" s="75" t="str">
        <f t="shared" si="15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1"/>
        <v/>
      </c>
      <c r="D167" s="72" t="str">
        <f t="shared" si="12"/>
        <v/>
      </c>
      <c r="E167" s="84"/>
      <c r="F167" s="122" t="str">
        <f t="shared" si="13"/>
        <v/>
      </c>
      <c r="G167" s="117"/>
      <c r="H167" s="117"/>
      <c r="I167" s="117"/>
      <c r="J167" s="84"/>
      <c r="L167" s="75" t="str">
        <f t="shared" si="14"/>
        <v/>
      </c>
      <c r="M167" s="75" t="str">
        <f t="shared" si="15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1"/>
        <v/>
      </c>
      <c r="D168" s="72" t="str">
        <f t="shared" si="12"/>
        <v/>
      </c>
      <c r="E168" s="84"/>
      <c r="F168" s="122" t="str">
        <f t="shared" si="13"/>
        <v/>
      </c>
      <c r="G168" s="117"/>
      <c r="H168" s="117"/>
      <c r="I168" s="117"/>
      <c r="J168" s="84"/>
      <c r="L168" s="75" t="str">
        <f t="shared" si="14"/>
        <v/>
      </c>
      <c r="M168" s="75" t="str">
        <f t="shared" si="15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1"/>
        <v/>
      </c>
      <c r="D169" s="72" t="str">
        <f t="shared" si="12"/>
        <v/>
      </c>
      <c r="E169" s="84"/>
      <c r="F169" s="122" t="str">
        <f t="shared" si="13"/>
        <v/>
      </c>
      <c r="G169" s="117"/>
      <c r="H169" s="117"/>
      <c r="I169" s="117"/>
      <c r="J169" s="84"/>
      <c r="L169" s="75" t="str">
        <f t="shared" si="14"/>
        <v/>
      </c>
      <c r="M169" s="75" t="str">
        <f t="shared" si="15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1"/>
        <v/>
      </c>
      <c r="D170" s="72" t="str">
        <f t="shared" si="12"/>
        <v/>
      </c>
      <c r="E170" s="84"/>
      <c r="F170" s="122" t="str">
        <f t="shared" si="13"/>
        <v/>
      </c>
      <c r="G170" s="117"/>
      <c r="H170" s="117"/>
      <c r="I170" s="117"/>
      <c r="J170" s="84"/>
      <c r="L170" s="75" t="str">
        <f t="shared" si="14"/>
        <v/>
      </c>
      <c r="M170" s="75" t="str">
        <f t="shared" si="15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1"/>
        <v/>
      </c>
      <c r="D171" s="72" t="str">
        <f t="shared" si="12"/>
        <v/>
      </c>
      <c r="E171" s="84"/>
      <c r="F171" s="122" t="str">
        <f t="shared" si="13"/>
        <v/>
      </c>
      <c r="G171" s="117"/>
      <c r="H171" s="117"/>
      <c r="I171" s="117"/>
      <c r="J171" s="84"/>
      <c r="L171" s="75" t="str">
        <f t="shared" si="14"/>
        <v/>
      </c>
      <c r="M171" s="75" t="str">
        <f t="shared" si="15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1"/>
        <v/>
      </c>
      <c r="D172" s="72" t="str">
        <f t="shared" si="12"/>
        <v/>
      </c>
      <c r="E172" s="84"/>
      <c r="F172" s="122" t="str">
        <f t="shared" si="13"/>
        <v/>
      </c>
      <c r="G172" s="117"/>
      <c r="H172" s="117"/>
      <c r="I172" s="117"/>
      <c r="J172" s="84"/>
      <c r="L172" s="75" t="str">
        <f t="shared" si="14"/>
        <v/>
      </c>
      <c r="M172" s="75" t="str">
        <f t="shared" si="15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1"/>
        <v/>
      </c>
      <c r="D173" s="72" t="str">
        <f t="shared" si="12"/>
        <v/>
      </c>
      <c r="E173" s="84"/>
      <c r="F173" s="122" t="str">
        <f t="shared" si="13"/>
        <v/>
      </c>
      <c r="G173" s="117"/>
      <c r="H173" s="117"/>
      <c r="I173" s="117"/>
      <c r="J173" s="84"/>
      <c r="L173" s="75" t="str">
        <f t="shared" si="14"/>
        <v/>
      </c>
      <c r="M173" s="75" t="str">
        <f t="shared" si="15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1"/>
        <v/>
      </c>
      <c r="D174" s="72" t="str">
        <f t="shared" si="12"/>
        <v/>
      </c>
      <c r="E174" s="84"/>
      <c r="F174" s="122" t="str">
        <f t="shared" si="13"/>
        <v/>
      </c>
      <c r="G174" s="117"/>
      <c r="H174" s="117"/>
      <c r="I174" s="117"/>
      <c r="J174" s="84"/>
      <c r="L174" s="75" t="str">
        <f t="shared" si="14"/>
        <v/>
      </c>
      <c r="M174" s="75" t="str">
        <f t="shared" si="15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1"/>
        <v/>
      </c>
      <c r="D175" s="72" t="str">
        <f t="shared" si="12"/>
        <v/>
      </c>
      <c r="E175" s="84"/>
      <c r="F175" s="122" t="str">
        <f t="shared" si="13"/>
        <v/>
      </c>
      <c r="G175" s="117"/>
      <c r="H175" s="117"/>
      <c r="I175" s="117"/>
      <c r="J175" s="84"/>
      <c r="L175" s="75" t="str">
        <f t="shared" si="14"/>
        <v/>
      </c>
      <c r="M175" s="75" t="str">
        <f t="shared" si="15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1"/>
        <v/>
      </c>
      <c r="D176" s="72" t="str">
        <f t="shared" si="12"/>
        <v/>
      </c>
      <c r="E176" s="84"/>
      <c r="F176" s="122" t="str">
        <f t="shared" si="13"/>
        <v/>
      </c>
      <c r="G176" s="117"/>
      <c r="H176" s="117"/>
      <c r="I176" s="117"/>
      <c r="J176" s="84"/>
      <c r="L176" s="75" t="str">
        <f t="shared" si="14"/>
        <v/>
      </c>
      <c r="M176" s="75" t="str">
        <f t="shared" si="15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1"/>
        <v/>
      </c>
      <c r="D177" s="72" t="str">
        <f t="shared" si="12"/>
        <v/>
      </c>
      <c r="E177" s="84"/>
      <c r="F177" s="122" t="str">
        <f t="shared" si="13"/>
        <v/>
      </c>
      <c r="G177" s="117"/>
      <c r="H177" s="117"/>
      <c r="I177" s="117"/>
      <c r="J177" s="84"/>
      <c r="L177" s="75" t="str">
        <f t="shared" si="14"/>
        <v/>
      </c>
      <c r="M177" s="75" t="str">
        <f t="shared" si="15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1"/>
        <v/>
      </c>
      <c r="D178" s="72" t="str">
        <f t="shared" si="12"/>
        <v/>
      </c>
      <c r="E178" s="84"/>
      <c r="F178" s="122" t="str">
        <f t="shared" si="13"/>
        <v/>
      </c>
      <c r="G178" s="117"/>
      <c r="H178" s="117"/>
      <c r="I178" s="117"/>
      <c r="J178" s="84"/>
      <c r="L178" s="75" t="str">
        <f t="shared" si="14"/>
        <v/>
      </c>
      <c r="M178" s="75" t="str">
        <f t="shared" si="15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1"/>
        <v/>
      </c>
      <c r="D179" s="72" t="str">
        <f t="shared" si="12"/>
        <v/>
      </c>
      <c r="E179" s="84"/>
      <c r="F179" s="122" t="str">
        <f t="shared" si="13"/>
        <v/>
      </c>
      <c r="G179" s="117"/>
      <c r="H179" s="117"/>
      <c r="I179" s="117"/>
      <c r="J179" s="84"/>
      <c r="L179" s="75" t="str">
        <f t="shared" si="14"/>
        <v/>
      </c>
      <c r="M179" s="75" t="str">
        <f t="shared" si="15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1"/>
        <v/>
      </c>
      <c r="D180" s="72" t="str">
        <f t="shared" si="12"/>
        <v/>
      </c>
      <c r="E180" s="84"/>
      <c r="F180" s="122" t="str">
        <f t="shared" si="13"/>
        <v/>
      </c>
      <c r="G180" s="117"/>
      <c r="H180" s="117"/>
      <c r="I180" s="117"/>
      <c r="J180" s="84"/>
      <c r="L180" s="75" t="str">
        <f t="shared" si="14"/>
        <v/>
      </c>
      <c r="M180" s="75" t="str">
        <f t="shared" si="15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1"/>
        <v/>
      </c>
      <c r="D181" s="72" t="str">
        <f t="shared" si="12"/>
        <v/>
      </c>
      <c r="E181" s="84"/>
      <c r="F181" s="122" t="str">
        <f t="shared" si="13"/>
        <v/>
      </c>
      <c r="G181" s="117"/>
      <c r="H181" s="117"/>
      <c r="I181" s="117"/>
      <c r="J181" s="84"/>
      <c r="L181" s="75" t="str">
        <f t="shared" si="14"/>
        <v/>
      </c>
      <c r="M181" s="75" t="str">
        <f t="shared" si="15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1"/>
        <v/>
      </c>
      <c r="D182" s="72" t="str">
        <f t="shared" si="12"/>
        <v/>
      </c>
      <c r="E182" s="84"/>
      <c r="F182" s="122" t="str">
        <f t="shared" si="13"/>
        <v/>
      </c>
      <c r="G182" s="117"/>
      <c r="H182" s="117"/>
      <c r="I182" s="117"/>
      <c r="J182" s="84"/>
      <c r="L182" s="75" t="str">
        <f t="shared" si="14"/>
        <v/>
      </c>
      <c r="M182" s="75" t="str">
        <f t="shared" si="15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1"/>
        <v/>
      </c>
      <c r="D183" s="72" t="str">
        <f t="shared" si="12"/>
        <v/>
      </c>
      <c r="E183" s="84"/>
      <c r="F183" s="122" t="str">
        <f t="shared" si="13"/>
        <v/>
      </c>
      <c r="G183" s="117"/>
      <c r="H183" s="117"/>
      <c r="I183" s="117"/>
      <c r="J183" s="84"/>
      <c r="L183" s="75" t="str">
        <f t="shared" si="14"/>
        <v/>
      </c>
      <c r="M183" s="75" t="str">
        <f t="shared" si="15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1"/>
        <v/>
      </c>
      <c r="D184" s="72" t="str">
        <f t="shared" si="12"/>
        <v/>
      </c>
      <c r="E184" s="84"/>
      <c r="F184" s="122" t="str">
        <f t="shared" si="13"/>
        <v/>
      </c>
      <c r="G184" s="117"/>
      <c r="H184" s="117"/>
      <c r="I184" s="117"/>
      <c r="J184" s="84"/>
      <c r="L184" s="75" t="str">
        <f t="shared" si="14"/>
        <v/>
      </c>
      <c r="M184" s="75" t="str">
        <f t="shared" si="15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1"/>
        <v/>
      </c>
      <c r="D185" s="72" t="str">
        <f t="shared" si="12"/>
        <v/>
      </c>
      <c r="E185" s="84"/>
      <c r="F185" s="122" t="str">
        <f t="shared" si="13"/>
        <v/>
      </c>
      <c r="G185" s="117"/>
      <c r="H185" s="117"/>
      <c r="I185" s="117"/>
      <c r="J185" s="84"/>
      <c r="L185" s="75" t="str">
        <f t="shared" si="14"/>
        <v/>
      </c>
      <c r="M185" s="75" t="str">
        <f t="shared" si="15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1"/>
        <v/>
      </c>
      <c r="D186" s="72" t="str">
        <f t="shared" si="12"/>
        <v/>
      </c>
      <c r="E186" s="84"/>
      <c r="F186" s="122" t="str">
        <f t="shared" si="13"/>
        <v/>
      </c>
      <c r="G186" s="117"/>
      <c r="H186" s="117"/>
      <c r="I186" s="117"/>
      <c r="J186" s="84"/>
      <c r="L186" s="75" t="str">
        <f t="shared" si="14"/>
        <v/>
      </c>
      <c r="M186" s="75" t="str">
        <f t="shared" si="15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1"/>
        <v/>
      </c>
      <c r="D187" s="72" t="str">
        <f t="shared" si="12"/>
        <v/>
      </c>
      <c r="E187" s="84"/>
      <c r="F187" s="122" t="str">
        <f t="shared" si="13"/>
        <v/>
      </c>
      <c r="G187" s="117"/>
      <c r="H187" s="117"/>
      <c r="I187" s="117"/>
      <c r="J187" s="84"/>
      <c r="L187" s="75" t="str">
        <f t="shared" si="14"/>
        <v/>
      </c>
      <c r="M187" s="75" t="str">
        <f t="shared" si="15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1"/>
        <v/>
      </c>
      <c r="D188" s="72" t="str">
        <f t="shared" si="12"/>
        <v/>
      </c>
      <c r="E188" s="84"/>
      <c r="F188" s="122" t="str">
        <f t="shared" si="13"/>
        <v/>
      </c>
      <c r="G188" s="117"/>
      <c r="H188" s="117"/>
      <c r="I188" s="117"/>
      <c r="J188" s="84"/>
      <c r="L188" s="75" t="str">
        <f t="shared" si="14"/>
        <v/>
      </c>
      <c r="M188" s="75" t="str">
        <f t="shared" si="15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1"/>
        <v/>
      </c>
      <c r="D189" s="72" t="str">
        <f t="shared" si="12"/>
        <v/>
      </c>
      <c r="E189" s="84"/>
      <c r="F189" s="122" t="str">
        <f t="shared" si="13"/>
        <v/>
      </c>
      <c r="G189" s="117"/>
      <c r="H189" s="117"/>
      <c r="I189" s="117"/>
      <c r="J189" s="84"/>
      <c r="L189" s="75" t="str">
        <f t="shared" si="14"/>
        <v/>
      </c>
      <c r="M189" s="75" t="str">
        <f t="shared" si="15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1"/>
        <v/>
      </c>
      <c r="D190" s="72" t="str">
        <f t="shared" si="12"/>
        <v/>
      </c>
      <c r="E190" s="84"/>
      <c r="F190" s="122" t="str">
        <f t="shared" si="13"/>
        <v/>
      </c>
      <c r="G190" s="117"/>
      <c r="H190" s="117"/>
      <c r="I190" s="117"/>
      <c r="J190" s="84"/>
      <c r="L190" s="75" t="str">
        <f t="shared" si="14"/>
        <v/>
      </c>
      <c r="M190" s="75" t="str">
        <f t="shared" si="15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1"/>
        <v/>
      </c>
      <c r="D191" s="72" t="str">
        <f t="shared" si="12"/>
        <v/>
      </c>
      <c r="E191" s="84"/>
      <c r="F191" s="122" t="str">
        <f t="shared" si="13"/>
        <v/>
      </c>
      <c r="G191" s="117"/>
      <c r="H191" s="117"/>
      <c r="I191" s="117"/>
      <c r="J191" s="84"/>
      <c r="L191" s="75" t="str">
        <f t="shared" si="14"/>
        <v/>
      </c>
      <c r="M191" s="75" t="str">
        <f t="shared" si="15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1"/>
        <v/>
      </c>
      <c r="D192" s="72" t="str">
        <f t="shared" si="12"/>
        <v/>
      </c>
      <c r="E192" s="84"/>
      <c r="F192" s="122" t="str">
        <f t="shared" si="13"/>
        <v/>
      </c>
      <c r="G192" s="117"/>
      <c r="H192" s="117"/>
      <c r="I192" s="117"/>
      <c r="J192" s="84"/>
      <c r="L192" s="75" t="str">
        <f t="shared" si="14"/>
        <v/>
      </c>
      <c r="M192" s="75" t="str">
        <f t="shared" si="15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1"/>
        <v/>
      </c>
      <c r="D193" s="72" t="str">
        <f t="shared" si="12"/>
        <v/>
      </c>
      <c r="E193" s="84"/>
      <c r="F193" s="122" t="str">
        <f t="shared" si="13"/>
        <v/>
      </c>
      <c r="G193" s="117"/>
      <c r="H193" s="117"/>
      <c r="I193" s="117"/>
      <c r="J193" s="84"/>
      <c r="L193" s="75" t="str">
        <f t="shared" si="14"/>
        <v/>
      </c>
      <c r="M193" s="75" t="str">
        <f t="shared" si="15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1"/>
        <v/>
      </c>
      <c r="D194" s="72" t="str">
        <f t="shared" si="12"/>
        <v/>
      </c>
      <c r="E194" s="84"/>
      <c r="F194" s="122" t="str">
        <f t="shared" si="13"/>
        <v/>
      </c>
      <c r="G194" s="117"/>
      <c r="H194" s="117"/>
      <c r="I194" s="117"/>
      <c r="J194" s="84"/>
      <c r="L194" s="75" t="str">
        <f t="shared" si="14"/>
        <v/>
      </c>
      <c r="M194" s="75" t="str">
        <f t="shared" si="15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1"/>
        <v/>
      </c>
      <c r="D195" s="72" t="str">
        <f t="shared" si="12"/>
        <v/>
      </c>
      <c r="E195" s="84"/>
      <c r="F195" s="122" t="str">
        <f t="shared" si="13"/>
        <v/>
      </c>
      <c r="G195" s="117"/>
      <c r="H195" s="117"/>
      <c r="I195" s="117"/>
      <c r="J195" s="84"/>
      <c r="L195" s="75" t="str">
        <f t="shared" si="14"/>
        <v/>
      </c>
      <c r="M195" s="75" t="str">
        <f t="shared" si="15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ref="C196:C259" si="16">IFERROR(VLOOKUP(E196,$R$6:$U$114,3,FALSE),"")</f>
        <v/>
      </c>
      <c r="D196" s="72" t="str">
        <f t="shared" ref="D196:D259" si="17">IFERROR(VLOOKUP(E196,$R$6:$U$114,4,FALSE),"")</f>
        <v/>
      </c>
      <c r="E196" s="84"/>
      <c r="F196" s="122" t="str">
        <f t="shared" ref="F196:F259" si="18">IFERROR(VLOOKUP(E196,$R$6:$U$114,2,FALSE),"")</f>
        <v/>
      </c>
      <c r="G196" s="117"/>
      <c r="H196" s="117"/>
      <c r="I196" s="117"/>
      <c r="J196" s="84"/>
      <c r="L196" s="75" t="str">
        <f t="shared" si="14"/>
        <v/>
      </c>
      <c r="M196" s="75" t="str">
        <f t="shared" si="15"/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6"/>
        <v/>
      </c>
      <c r="D197" s="72" t="str">
        <f t="shared" si="17"/>
        <v/>
      </c>
      <c r="E197" s="84"/>
      <c r="F197" s="122" t="str">
        <f t="shared" si="18"/>
        <v/>
      </c>
      <c r="G197" s="117"/>
      <c r="H197" s="117"/>
      <c r="I197" s="117"/>
      <c r="J197" s="84"/>
      <c r="L197" s="75" t="str">
        <f t="shared" ref="L197:L260" si="19">LEFT(E197,2)</f>
        <v/>
      </c>
      <c r="M197" s="75" t="str">
        <f t="shared" ref="M197:M260" si="20">LEFT(E197,3)</f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6"/>
        <v/>
      </c>
      <c r="D198" s="72" t="str">
        <f t="shared" si="17"/>
        <v/>
      </c>
      <c r="E198" s="84"/>
      <c r="F198" s="122" t="str">
        <f t="shared" si="18"/>
        <v/>
      </c>
      <c r="G198" s="117"/>
      <c r="H198" s="117"/>
      <c r="I198" s="117"/>
      <c r="J198" s="84"/>
      <c r="L198" s="75" t="str">
        <f t="shared" si="19"/>
        <v/>
      </c>
      <c r="M198" s="75" t="str">
        <f t="shared" si="20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6"/>
        <v/>
      </c>
      <c r="D199" s="72" t="str">
        <f t="shared" si="17"/>
        <v/>
      </c>
      <c r="E199" s="84"/>
      <c r="F199" s="122" t="str">
        <f t="shared" si="18"/>
        <v/>
      </c>
      <c r="G199" s="117"/>
      <c r="H199" s="117"/>
      <c r="I199" s="117"/>
      <c r="J199" s="84"/>
      <c r="L199" s="75" t="str">
        <f t="shared" si="19"/>
        <v/>
      </c>
      <c r="M199" s="75" t="str">
        <f t="shared" si="20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6"/>
        <v/>
      </c>
      <c r="D200" s="72" t="str">
        <f t="shared" si="17"/>
        <v/>
      </c>
      <c r="E200" s="84"/>
      <c r="F200" s="122" t="str">
        <f t="shared" si="18"/>
        <v/>
      </c>
      <c r="G200" s="117"/>
      <c r="H200" s="117"/>
      <c r="I200" s="117"/>
      <c r="J200" s="84"/>
      <c r="L200" s="75" t="str">
        <f t="shared" si="19"/>
        <v/>
      </c>
      <c r="M200" s="75" t="str">
        <f t="shared" si="20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6"/>
        <v/>
      </c>
      <c r="D201" s="72" t="str">
        <f t="shared" si="17"/>
        <v/>
      </c>
      <c r="E201" s="84"/>
      <c r="F201" s="122" t="str">
        <f t="shared" si="18"/>
        <v/>
      </c>
      <c r="G201" s="117"/>
      <c r="H201" s="117"/>
      <c r="I201" s="117"/>
      <c r="J201" s="84"/>
      <c r="L201" s="75" t="str">
        <f t="shared" si="19"/>
        <v/>
      </c>
      <c r="M201" s="75" t="str">
        <f t="shared" si="20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6"/>
        <v/>
      </c>
      <c r="D202" s="72" t="str">
        <f t="shared" si="17"/>
        <v/>
      </c>
      <c r="E202" s="84"/>
      <c r="F202" s="122" t="str">
        <f t="shared" si="18"/>
        <v/>
      </c>
      <c r="G202" s="117"/>
      <c r="H202" s="117"/>
      <c r="I202" s="117"/>
      <c r="J202" s="84"/>
      <c r="L202" s="75" t="str">
        <f t="shared" si="19"/>
        <v/>
      </c>
      <c r="M202" s="75" t="str">
        <f t="shared" si="20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6"/>
        <v/>
      </c>
      <c r="D203" s="72" t="str">
        <f t="shared" si="17"/>
        <v/>
      </c>
      <c r="E203" s="84"/>
      <c r="F203" s="122" t="str">
        <f t="shared" si="18"/>
        <v/>
      </c>
      <c r="G203" s="117"/>
      <c r="H203" s="117"/>
      <c r="I203" s="117"/>
      <c r="J203" s="84"/>
      <c r="L203" s="75" t="str">
        <f t="shared" si="19"/>
        <v/>
      </c>
      <c r="M203" s="75" t="str">
        <f t="shared" si="20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6"/>
        <v/>
      </c>
      <c r="D204" s="72" t="str">
        <f t="shared" si="17"/>
        <v/>
      </c>
      <c r="E204" s="84"/>
      <c r="F204" s="122" t="str">
        <f t="shared" si="18"/>
        <v/>
      </c>
      <c r="G204" s="117"/>
      <c r="H204" s="117"/>
      <c r="I204" s="117"/>
      <c r="J204" s="84"/>
      <c r="L204" s="75" t="str">
        <f t="shared" si="19"/>
        <v/>
      </c>
      <c r="M204" s="75" t="str">
        <f t="shared" si="20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6"/>
        <v/>
      </c>
      <c r="D205" s="72" t="str">
        <f t="shared" si="17"/>
        <v/>
      </c>
      <c r="E205" s="84"/>
      <c r="F205" s="122" t="str">
        <f t="shared" si="18"/>
        <v/>
      </c>
      <c r="G205" s="117"/>
      <c r="H205" s="117"/>
      <c r="I205" s="117"/>
      <c r="J205" s="84"/>
      <c r="L205" s="75" t="str">
        <f t="shared" si="19"/>
        <v/>
      </c>
      <c r="M205" s="75" t="str">
        <f t="shared" si="20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6"/>
        <v/>
      </c>
      <c r="D206" s="72" t="str">
        <f t="shared" si="17"/>
        <v/>
      </c>
      <c r="E206" s="84"/>
      <c r="F206" s="122" t="str">
        <f t="shared" si="18"/>
        <v/>
      </c>
      <c r="G206" s="117"/>
      <c r="H206" s="117"/>
      <c r="I206" s="117"/>
      <c r="J206" s="84"/>
      <c r="L206" s="75" t="str">
        <f t="shared" si="19"/>
        <v/>
      </c>
      <c r="M206" s="75" t="str">
        <f t="shared" si="20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6"/>
        <v/>
      </c>
      <c r="D207" s="72" t="str">
        <f t="shared" si="17"/>
        <v/>
      </c>
      <c r="E207" s="84"/>
      <c r="F207" s="122" t="str">
        <f t="shared" si="18"/>
        <v/>
      </c>
      <c r="G207" s="117"/>
      <c r="H207" s="117"/>
      <c r="I207" s="117"/>
      <c r="J207" s="84"/>
      <c r="L207" s="75" t="str">
        <f t="shared" si="19"/>
        <v/>
      </c>
      <c r="M207" s="75" t="str">
        <f t="shared" si="20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6"/>
        <v/>
      </c>
      <c r="D208" s="72" t="str">
        <f t="shared" si="17"/>
        <v/>
      </c>
      <c r="E208" s="84"/>
      <c r="F208" s="122" t="str">
        <f t="shared" si="18"/>
        <v/>
      </c>
      <c r="G208" s="117"/>
      <c r="H208" s="117"/>
      <c r="I208" s="117"/>
      <c r="J208" s="84"/>
      <c r="L208" s="75" t="str">
        <f t="shared" si="19"/>
        <v/>
      </c>
      <c r="M208" s="75" t="str">
        <f t="shared" si="20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6"/>
        <v/>
      </c>
      <c r="D209" s="72" t="str">
        <f t="shared" si="17"/>
        <v/>
      </c>
      <c r="E209" s="84"/>
      <c r="F209" s="122" t="str">
        <f t="shared" si="18"/>
        <v/>
      </c>
      <c r="G209" s="117"/>
      <c r="H209" s="117"/>
      <c r="I209" s="117"/>
      <c r="J209" s="84"/>
      <c r="L209" s="75" t="str">
        <f t="shared" si="19"/>
        <v/>
      </c>
      <c r="M209" s="75" t="str">
        <f t="shared" si="20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6"/>
        <v/>
      </c>
      <c r="D210" s="72" t="str">
        <f t="shared" si="17"/>
        <v/>
      </c>
      <c r="E210" s="84"/>
      <c r="F210" s="122" t="str">
        <f t="shared" si="18"/>
        <v/>
      </c>
      <c r="G210" s="117"/>
      <c r="H210" s="117"/>
      <c r="I210" s="117"/>
      <c r="J210" s="84"/>
      <c r="L210" s="75" t="str">
        <f t="shared" si="19"/>
        <v/>
      </c>
      <c r="M210" s="75" t="str">
        <f t="shared" si="20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6"/>
        <v/>
      </c>
      <c r="D211" s="72" t="str">
        <f t="shared" si="17"/>
        <v/>
      </c>
      <c r="E211" s="84"/>
      <c r="F211" s="122" t="str">
        <f t="shared" si="18"/>
        <v/>
      </c>
      <c r="G211" s="117"/>
      <c r="H211" s="117"/>
      <c r="I211" s="117"/>
      <c r="J211" s="84"/>
      <c r="L211" s="75" t="str">
        <f t="shared" si="19"/>
        <v/>
      </c>
      <c r="M211" s="75" t="str">
        <f t="shared" si="20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6"/>
        <v/>
      </c>
      <c r="D212" s="72" t="str">
        <f t="shared" si="17"/>
        <v/>
      </c>
      <c r="E212" s="84"/>
      <c r="F212" s="122" t="str">
        <f t="shared" si="18"/>
        <v/>
      </c>
      <c r="G212" s="117"/>
      <c r="H212" s="117"/>
      <c r="I212" s="117"/>
      <c r="J212" s="84"/>
      <c r="L212" s="75" t="str">
        <f t="shared" si="19"/>
        <v/>
      </c>
      <c r="M212" s="75" t="str">
        <f t="shared" si="20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6"/>
        <v/>
      </c>
      <c r="D213" s="72" t="str">
        <f t="shared" si="17"/>
        <v/>
      </c>
      <c r="E213" s="84"/>
      <c r="F213" s="122" t="str">
        <f t="shared" si="18"/>
        <v/>
      </c>
      <c r="G213" s="117"/>
      <c r="H213" s="117"/>
      <c r="I213" s="117"/>
      <c r="J213" s="84"/>
      <c r="L213" s="75" t="str">
        <f t="shared" si="19"/>
        <v/>
      </c>
      <c r="M213" s="75" t="str">
        <f t="shared" si="20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6"/>
        <v/>
      </c>
      <c r="D214" s="72" t="str">
        <f t="shared" si="17"/>
        <v/>
      </c>
      <c r="E214" s="84"/>
      <c r="F214" s="122" t="str">
        <f t="shared" si="18"/>
        <v/>
      </c>
      <c r="G214" s="117"/>
      <c r="H214" s="117"/>
      <c r="I214" s="117"/>
      <c r="J214" s="84"/>
      <c r="L214" s="75" t="str">
        <f t="shared" si="19"/>
        <v/>
      </c>
      <c r="M214" s="75" t="str">
        <f t="shared" si="20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6"/>
        <v/>
      </c>
      <c r="D215" s="72" t="str">
        <f t="shared" si="17"/>
        <v/>
      </c>
      <c r="E215" s="84"/>
      <c r="F215" s="122" t="str">
        <f t="shared" si="18"/>
        <v/>
      </c>
      <c r="G215" s="117"/>
      <c r="H215" s="117"/>
      <c r="I215" s="117"/>
      <c r="J215" s="84"/>
      <c r="L215" s="75" t="str">
        <f t="shared" si="19"/>
        <v/>
      </c>
      <c r="M215" s="75" t="str">
        <f t="shared" si="20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6"/>
        <v/>
      </c>
      <c r="D216" s="72" t="str">
        <f t="shared" si="17"/>
        <v/>
      </c>
      <c r="E216" s="84"/>
      <c r="F216" s="122" t="str">
        <f t="shared" si="18"/>
        <v/>
      </c>
      <c r="G216" s="117"/>
      <c r="H216" s="117"/>
      <c r="I216" s="117"/>
      <c r="J216" s="84"/>
      <c r="L216" s="75" t="str">
        <f t="shared" si="19"/>
        <v/>
      </c>
      <c r="M216" s="75" t="str">
        <f t="shared" si="20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6"/>
        <v/>
      </c>
      <c r="D217" s="72" t="str">
        <f t="shared" si="17"/>
        <v/>
      </c>
      <c r="E217" s="84"/>
      <c r="F217" s="122" t="str">
        <f t="shared" si="18"/>
        <v/>
      </c>
      <c r="G217" s="117"/>
      <c r="H217" s="117"/>
      <c r="I217" s="117"/>
      <c r="J217" s="84"/>
      <c r="L217" s="75" t="str">
        <f t="shared" si="19"/>
        <v/>
      </c>
      <c r="M217" s="75" t="str">
        <f t="shared" si="20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6"/>
        <v/>
      </c>
      <c r="D218" s="72" t="str">
        <f t="shared" si="17"/>
        <v/>
      </c>
      <c r="E218" s="84"/>
      <c r="F218" s="122" t="str">
        <f t="shared" si="18"/>
        <v/>
      </c>
      <c r="G218" s="117"/>
      <c r="H218" s="117"/>
      <c r="I218" s="117"/>
      <c r="J218" s="84"/>
      <c r="L218" s="75" t="str">
        <f t="shared" si="19"/>
        <v/>
      </c>
      <c r="M218" s="75" t="str">
        <f t="shared" si="20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6"/>
        <v/>
      </c>
      <c r="D219" s="72" t="str">
        <f t="shared" si="17"/>
        <v/>
      </c>
      <c r="E219" s="84"/>
      <c r="F219" s="122" t="str">
        <f t="shared" si="18"/>
        <v/>
      </c>
      <c r="G219" s="117"/>
      <c r="H219" s="117"/>
      <c r="I219" s="117"/>
      <c r="J219" s="84"/>
      <c r="L219" s="75" t="str">
        <f t="shared" si="19"/>
        <v/>
      </c>
      <c r="M219" s="75" t="str">
        <f t="shared" si="20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6"/>
        <v/>
      </c>
      <c r="D220" s="72" t="str">
        <f t="shared" si="17"/>
        <v/>
      </c>
      <c r="E220" s="84"/>
      <c r="F220" s="122" t="str">
        <f t="shared" si="18"/>
        <v/>
      </c>
      <c r="G220" s="117"/>
      <c r="H220" s="117"/>
      <c r="I220" s="117"/>
      <c r="J220" s="84"/>
      <c r="L220" s="75" t="str">
        <f t="shared" si="19"/>
        <v/>
      </c>
      <c r="M220" s="75" t="str">
        <f t="shared" si="20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6"/>
        <v/>
      </c>
      <c r="D221" s="72" t="str">
        <f t="shared" si="17"/>
        <v/>
      </c>
      <c r="E221" s="84"/>
      <c r="F221" s="122" t="str">
        <f t="shared" si="18"/>
        <v/>
      </c>
      <c r="G221" s="117"/>
      <c r="H221" s="117"/>
      <c r="I221" s="117"/>
      <c r="J221" s="84"/>
      <c r="L221" s="75" t="str">
        <f t="shared" si="19"/>
        <v/>
      </c>
      <c r="M221" s="75" t="str">
        <f t="shared" si="20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6"/>
        <v/>
      </c>
      <c r="D222" s="72" t="str">
        <f t="shared" si="17"/>
        <v/>
      </c>
      <c r="E222" s="84"/>
      <c r="F222" s="122" t="str">
        <f t="shared" si="18"/>
        <v/>
      </c>
      <c r="G222" s="117"/>
      <c r="H222" s="117"/>
      <c r="I222" s="117"/>
      <c r="J222" s="84"/>
      <c r="L222" s="75" t="str">
        <f t="shared" si="19"/>
        <v/>
      </c>
      <c r="M222" s="75" t="str">
        <f t="shared" si="20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6"/>
        <v/>
      </c>
      <c r="D223" s="72" t="str">
        <f t="shared" si="17"/>
        <v/>
      </c>
      <c r="E223" s="84"/>
      <c r="F223" s="122" t="str">
        <f t="shared" si="18"/>
        <v/>
      </c>
      <c r="G223" s="117"/>
      <c r="H223" s="117"/>
      <c r="I223" s="117"/>
      <c r="J223" s="84"/>
      <c r="L223" s="75" t="str">
        <f t="shared" si="19"/>
        <v/>
      </c>
      <c r="M223" s="75" t="str">
        <f t="shared" si="20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6"/>
        <v/>
      </c>
      <c r="D224" s="72" t="str">
        <f t="shared" si="17"/>
        <v/>
      </c>
      <c r="E224" s="84"/>
      <c r="F224" s="122" t="str">
        <f t="shared" si="18"/>
        <v/>
      </c>
      <c r="G224" s="117"/>
      <c r="H224" s="117"/>
      <c r="I224" s="117"/>
      <c r="J224" s="84"/>
      <c r="L224" s="75" t="str">
        <f t="shared" si="19"/>
        <v/>
      </c>
      <c r="M224" s="75" t="str">
        <f t="shared" si="20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6"/>
        <v/>
      </c>
      <c r="D225" s="72" t="str">
        <f t="shared" si="17"/>
        <v/>
      </c>
      <c r="E225" s="84"/>
      <c r="F225" s="122" t="str">
        <f t="shared" si="18"/>
        <v/>
      </c>
      <c r="G225" s="117"/>
      <c r="H225" s="117"/>
      <c r="I225" s="117"/>
      <c r="J225" s="84"/>
      <c r="L225" s="75" t="str">
        <f t="shared" si="19"/>
        <v/>
      </c>
      <c r="M225" s="75" t="str">
        <f t="shared" si="20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6"/>
        <v/>
      </c>
      <c r="D226" s="72" t="str">
        <f t="shared" si="17"/>
        <v/>
      </c>
      <c r="E226" s="84"/>
      <c r="F226" s="122" t="str">
        <f t="shared" si="18"/>
        <v/>
      </c>
      <c r="G226" s="117"/>
      <c r="H226" s="117"/>
      <c r="I226" s="117"/>
      <c r="J226" s="84"/>
      <c r="L226" s="75" t="str">
        <f t="shared" si="19"/>
        <v/>
      </c>
      <c r="M226" s="75" t="str">
        <f t="shared" si="20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6"/>
        <v/>
      </c>
      <c r="D227" s="72" t="str">
        <f t="shared" si="17"/>
        <v/>
      </c>
      <c r="E227" s="84"/>
      <c r="F227" s="122" t="str">
        <f t="shared" si="18"/>
        <v/>
      </c>
      <c r="G227" s="117"/>
      <c r="H227" s="117"/>
      <c r="I227" s="117"/>
      <c r="J227" s="84"/>
      <c r="L227" s="75" t="str">
        <f t="shared" si="19"/>
        <v/>
      </c>
      <c r="M227" s="75" t="str">
        <f t="shared" si="20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6"/>
        <v/>
      </c>
      <c r="D228" s="72" t="str">
        <f t="shared" si="17"/>
        <v/>
      </c>
      <c r="E228" s="84"/>
      <c r="F228" s="122" t="str">
        <f t="shared" si="18"/>
        <v/>
      </c>
      <c r="G228" s="117"/>
      <c r="H228" s="117"/>
      <c r="I228" s="117"/>
      <c r="J228" s="84"/>
      <c r="L228" s="75" t="str">
        <f t="shared" si="19"/>
        <v/>
      </c>
      <c r="M228" s="75" t="str">
        <f t="shared" si="20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6"/>
        <v/>
      </c>
      <c r="D229" s="72" t="str">
        <f t="shared" si="17"/>
        <v/>
      </c>
      <c r="E229" s="84"/>
      <c r="F229" s="122" t="str">
        <f t="shared" si="18"/>
        <v/>
      </c>
      <c r="G229" s="117"/>
      <c r="H229" s="117"/>
      <c r="I229" s="117"/>
      <c r="J229" s="84"/>
      <c r="L229" s="75" t="str">
        <f t="shared" si="19"/>
        <v/>
      </c>
      <c r="M229" s="75" t="str">
        <f t="shared" si="20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6"/>
        <v/>
      </c>
      <c r="D230" s="72" t="str">
        <f t="shared" si="17"/>
        <v/>
      </c>
      <c r="E230" s="84"/>
      <c r="F230" s="122" t="str">
        <f t="shared" si="18"/>
        <v/>
      </c>
      <c r="G230" s="117"/>
      <c r="H230" s="117"/>
      <c r="I230" s="117"/>
      <c r="J230" s="84"/>
      <c r="L230" s="75" t="str">
        <f t="shared" si="19"/>
        <v/>
      </c>
      <c r="M230" s="75" t="str">
        <f t="shared" si="20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6"/>
        <v/>
      </c>
      <c r="D231" s="72" t="str">
        <f t="shared" si="17"/>
        <v/>
      </c>
      <c r="E231" s="84"/>
      <c r="F231" s="122" t="str">
        <f t="shared" si="18"/>
        <v/>
      </c>
      <c r="G231" s="117"/>
      <c r="H231" s="117"/>
      <c r="I231" s="117"/>
      <c r="J231" s="84"/>
      <c r="L231" s="75" t="str">
        <f t="shared" si="19"/>
        <v/>
      </c>
      <c r="M231" s="75" t="str">
        <f t="shared" si="20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6"/>
        <v/>
      </c>
      <c r="D232" s="72" t="str">
        <f t="shared" si="17"/>
        <v/>
      </c>
      <c r="E232" s="84"/>
      <c r="F232" s="122" t="str">
        <f t="shared" si="18"/>
        <v/>
      </c>
      <c r="G232" s="117"/>
      <c r="H232" s="117"/>
      <c r="I232" s="117"/>
      <c r="J232" s="84"/>
      <c r="L232" s="75" t="str">
        <f t="shared" si="19"/>
        <v/>
      </c>
      <c r="M232" s="75" t="str">
        <f t="shared" si="20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6"/>
        <v/>
      </c>
      <c r="D233" s="72" t="str">
        <f t="shared" si="17"/>
        <v/>
      </c>
      <c r="E233" s="84"/>
      <c r="F233" s="122" t="str">
        <f t="shared" si="18"/>
        <v/>
      </c>
      <c r="G233" s="117"/>
      <c r="H233" s="117"/>
      <c r="I233" s="117"/>
      <c r="J233" s="84"/>
      <c r="L233" s="75" t="str">
        <f t="shared" si="19"/>
        <v/>
      </c>
      <c r="M233" s="75" t="str">
        <f t="shared" si="20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6"/>
        <v/>
      </c>
      <c r="D234" s="72" t="str">
        <f t="shared" si="17"/>
        <v/>
      </c>
      <c r="E234" s="84"/>
      <c r="F234" s="122" t="str">
        <f t="shared" si="18"/>
        <v/>
      </c>
      <c r="G234" s="117"/>
      <c r="H234" s="117"/>
      <c r="I234" s="117"/>
      <c r="J234" s="84"/>
      <c r="L234" s="75" t="str">
        <f t="shared" si="19"/>
        <v/>
      </c>
      <c r="M234" s="75" t="str">
        <f t="shared" si="20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6"/>
        <v/>
      </c>
      <c r="D235" s="72" t="str">
        <f t="shared" si="17"/>
        <v/>
      </c>
      <c r="E235" s="84"/>
      <c r="F235" s="122" t="str">
        <f t="shared" si="18"/>
        <v/>
      </c>
      <c r="G235" s="117"/>
      <c r="H235" s="117"/>
      <c r="I235" s="117"/>
      <c r="J235" s="84"/>
      <c r="L235" s="75" t="str">
        <f t="shared" si="19"/>
        <v/>
      </c>
      <c r="M235" s="75" t="str">
        <f t="shared" si="20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6"/>
        <v/>
      </c>
      <c r="D236" s="72" t="str">
        <f t="shared" si="17"/>
        <v/>
      </c>
      <c r="E236" s="84"/>
      <c r="F236" s="122" t="str">
        <f t="shared" si="18"/>
        <v/>
      </c>
      <c r="G236" s="117"/>
      <c r="H236" s="117"/>
      <c r="I236" s="117"/>
      <c r="J236" s="84"/>
      <c r="L236" s="75" t="str">
        <f t="shared" si="19"/>
        <v/>
      </c>
      <c r="M236" s="75" t="str">
        <f t="shared" si="20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6"/>
        <v/>
      </c>
      <c r="D237" s="72" t="str">
        <f t="shared" si="17"/>
        <v/>
      </c>
      <c r="E237" s="84"/>
      <c r="F237" s="122" t="str">
        <f t="shared" si="18"/>
        <v/>
      </c>
      <c r="G237" s="117"/>
      <c r="H237" s="117"/>
      <c r="I237" s="117"/>
      <c r="J237" s="84"/>
      <c r="L237" s="75" t="str">
        <f t="shared" si="19"/>
        <v/>
      </c>
      <c r="M237" s="75" t="str">
        <f t="shared" si="20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6"/>
        <v/>
      </c>
      <c r="D238" s="72" t="str">
        <f t="shared" si="17"/>
        <v/>
      </c>
      <c r="E238" s="84"/>
      <c r="F238" s="122" t="str">
        <f t="shared" si="18"/>
        <v/>
      </c>
      <c r="G238" s="117"/>
      <c r="H238" s="117"/>
      <c r="I238" s="117"/>
      <c r="J238" s="84"/>
      <c r="L238" s="75" t="str">
        <f t="shared" si="19"/>
        <v/>
      </c>
      <c r="M238" s="75" t="str">
        <f t="shared" si="20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6"/>
        <v/>
      </c>
      <c r="D239" s="72" t="str">
        <f t="shared" si="17"/>
        <v/>
      </c>
      <c r="E239" s="84"/>
      <c r="F239" s="122" t="str">
        <f t="shared" si="18"/>
        <v/>
      </c>
      <c r="G239" s="117"/>
      <c r="H239" s="117"/>
      <c r="I239" s="117"/>
      <c r="J239" s="84"/>
      <c r="L239" s="75" t="str">
        <f t="shared" si="19"/>
        <v/>
      </c>
      <c r="M239" s="75" t="str">
        <f t="shared" si="20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6"/>
        <v/>
      </c>
      <c r="D240" s="72" t="str">
        <f t="shared" si="17"/>
        <v/>
      </c>
      <c r="E240" s="84"/>
      <c r="F240" s="122" t="str">
        <f t="shared" si="18"/>
        <v/>
      </c>
      <c r="G240" s="117"/>
      <c r="H240" s="117"/>
      <c r="I240" s="117"/>
      <c r="J240" s="84"/>
      <c r="L240" s="75" t="str">
        <f t="shared" si="19"/>
        <v/>
      </c>
      <c r="M240" s="75" t="str">
        <f t="shared" si="20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6"/>
        <v/>
      </c>
      <c r="D241" s="72" t="str">
        <f t="shared" si="17"/>
        <v/>
      </c>
      <c r="E241" s="84"/>
      <c r="F241" s="122" t="str">
        <f t="shared" si="18"/>
        <v/>
      </c>
      <c r="G241" s="117"/>
      <c r="H241" s="117"/>
      <c r="I241" s="117"/>
      <c r="J241" s="84"/>
      <c r="L241" s="75" t="str">
        <f t="shared" si="19"/>
        <v/>
      </c>
      <c r="M241" s="75" t="str">
        <f t="shared" si="20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6"/>
        <v/>
      </c>
      <c r="D242" s="72" t="str">
        <f t="shared" si="17"/>
        <v/>
      </c>
      <c r="E242" s="84"/>
      <c r="F242" s="122" t="str">
        <f t="shared" si="18"/>
        <v/>
      </c>
      <c r="G242" s="117"/>
      <c r="H242" s="117"/>
      <c r="I242" s="117"/>
      <c r="J242" s="84"/>
      <c r="L242" s="75" t="str">
        <f t="shared" si="19"/>
        <v/>
      </c>
      <c r="M242" s="75" t="str">
        <f t="shared" si="20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6"/>
        <v/>
      </c>
      <c r="D243" s="72" t="str">
        <f t="shared" si="17"/>
        <v/>
      </c>
      <c r="E243" s="84"/>
      <c r="F243" s="122" t="str">
        <f t="shared" si="18"/>
        <v/>
      </c>
      <c r="G243" s="117"/>
      <c r="H243" s="117"/>
      <c r="I243" s="117"/>
      <c r="J243" s="84"/>
      <c r="L243" s="75" t="str">
        <f t="shared" si="19"/>
        <v/>
      </c>
      <c r="M243" s="75" t="str">
        <f t="shared" si="20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6"/>
        <v/>
      </c>
      <c r="D244" s="72" t="str">
        <f t="shared" si="17"/>
        <v/>
      </c>
      <c r="E244" s="84"/>
      <c r="F244" s="122" t="str">
        <f t="shared" si="18"/>
        <v/>
      </c>
      <c r="G244" s="117"/>
      <c r="H244" s="117"/>
      <c r="I244" s="117"/>
      <c r="J244" s="84"/>
      <c r="L244" s="75" t="str">
        <f t="shared" si="19"/>
        <v/>
      </c>
      <c r="M244" s="75" t="str">
        <f t="shared" si="20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6"/>
        <v/>
      </c>
      <c r="D245" s="72" t="str">
        <f t="shared" si="17"/>
        <v/>
      </c>
      <c r="E245" s="84"/>
      <c r="F245" s="122" t="str">
        <f t="shared" si="18"/>
        <v/>
      </c>
      <c r="G245" s="117"/>
      <c r="H245" s="117"/>
      <c r="I245" s="117"/>
      <c r="J245" s="84"/>
      <c r="L245" s="75" t="str">
        <f t="shared" si="19"/>
        <v/>
      </c>
      <c r="M245" s="75" t="str">
        <f t="shared" si="20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6"/>
        <v/>
      </c>
      <c r="D246" s="72" t="str">
        <f t="shared" si="17"/>
        <v/>
      </c>
      <c r="E246" s="84"/>
      <c r="F246" s="122" t="str">
        <f t="shared" si="18"/>
        <v/>
      </c>
      <c r="G246" s="117"/>
      <c r="H246" s="117"/>
      <c r="I246" s="117"/>
      <c r="J246" s="84"/>
      <c r="L246" s="75" t="str">
        <f t="shared" si="19"/>
        <v/>
      </c>
      <c r="M246" s="75" t="str">
        <f t="shared" si="20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6"/>
        <v/>
      </c>
      <c r="D247" s="72" t="str">
        <f t="shared" si="17"/>
        <v/>
      </c>
      <c r="E247" s="84"/>
      <c r="F247" s="122" t="str">
        <f t="shared" si="18"/>
        <v/>
      </c>
      <c r="G247" s="117"/>
      <c r="H247" s="117"/>
      <c r="I247" s="117"/>
      <c r="J247" s="84"/>
      <c r="L247" s="75" t="str">
        <f t="shared" si="19"/>
        <v/>
      </c>
      <c r="M247" s="75" t="str">
        <f t="shared" si="20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6"/>
        <v/>
      </c>
      <c r="D248" s="72" t="str">
        <f t="shared" si="17"/>
        <v/>
      </c>
      <c r="E248" s="84"/>
      <c r="F248" s="122" t="str">
        <f t="shared" si="18"/>
        <v/>
      </c>
      <c r="G248" s="117"/>
      <c r="H248" s="117"/>
      <c r="I248" s="117"/>
      <c r="J248" s="84"/>
      <c r="L248" s="75" t="str">
        <f t="shared" si="19"/>
        <v/>
      </c>
      <c r="M248" s="75" t="str">
        <f t="shared" si="20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6"/>
        <v/>
      </c>
      <c r="D249" s="72" t="str">
        <f t="shared" si="17"/>
        <v/>
      </c>
      <c r="E249" s="84"/>
      <c r="F249" s="122" t="str">
        <f t="shared" si="18"/>
        <v/>
      </c>
      <c r="G249" s="117"/>
      <c r="H249" s="117"/>
      <c r="I249" s="117"/>
      <c r="J249" s="84"/>
      <c r="L249" s="75" t="str">
        <f t="shared" si="19"/>
        <v/>
      </c>
      <c r="M249" s="75" t="str">
        <f t="shared" si="20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6"/>
        <v/>
      </c>
      <c r="D250" s="72" t="str">
        <f t="shared" si="17"/>
        <v/>
      </c>
      <c r="E250" s="84"/>
      <c r="F250" s="122" t="str">
        <f t="shared" si="18"/>
        <v/>
      </c>
      <c r="G250" s="117"/>
      <c r="H250" s="117"/>
      <c r="I250" s="117"/>
      <c r="J250" s="84"/>
      <c r="L250" s="75" t="str">
        <f t="shared" si="19"/>
        <v/>
      </c>
      <c r="M250" s="75" t="str">
        <f t="shared" si="20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6"/>
        <v/>
      </c>
      <c r="D251" s="72" t="str">
        <f t="shared" si="17"/>
        <v/>
      </c>
      <c r="E251" s="84"/>
      <c r="F251" s="122" t="str">
        <f t="shared" si="18"/>
        <v/>
      </c>
      <c r="G251" s="117"/>
      <c r="H251" s="117"/>
      <c r="I251" s="117"/>
      <c r="J251" s="84"/>
      <c r="L251" s="75" t="str">
        <f t="shared" si="19"/>
        <v/>
      </c>
      <c r="M251" s="75" t="str">
        <f t="shared" si="20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6"/>
        <v/>
      </c>
      <c r="D252" s="72" t="str">
        <f t="shared" si="17"/>
        <v/>
      </c>
      <c r="E252" s="84"/>
      <c r="F252" s="122" t="str">
        <f t="shared" si="18"/>
        <v/>
      </c>
      <c r="G252" s="117"/>
      <c r="H252" s="117"/>
      <c r="I252" s="117"/>
      <c r="J252" s="84"/>
      <c r="L252" s="75" t="str">
        <f t="shared" si="19"/>
        <v/>
      </c>
      <c r="M252" s="75" t="str">
        <f t="shared" si="20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6"/>
        <v/>
      </c>
      <c r="D253" s="72" t="str">
        <f t="shared" si="17"/>
        <v/>
      </c>
      <c r="E253" s="84"/>
      <c r="F253" s="122" t="str">
        <f t="shared" si="18"/>
        <v/>
      </c>
      <c r="G253" s="117"/>
      <c r="H253" s="117"/>
      <c r="I253" s="117"/>
      <c r="J253" s="84"/>
      <c r="L253" s="75" t="str">
        <f t="shared" si="19"/>
        <v/>
      </c>
      <c r="M253" s="75" t="str">
        <f t="shared" si="20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6"/>
        <v/>
      </c>
      <c r="D254" s="72" t="str">
        <f t="shared" si="17"/>
        <v/>
      </c>
      <c r="E254" s="84"/>
      <c r="F254" s="122" t="str">
        <f t="shared" si="18"/>
        <v/>
      </c>
      <c r="G254" s="117"/>
      <c r="H254" s="117"/>
      <c r="I254" s="117"/>
      <c r="J254" s="84"/>
      <c r="L254" s="75" t="str">
        <f t="shared" si="19"/>
        <v/>
      </c>
      <c r="M254" s="75" t="str">
        <f t="shared" si="20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6"/>
        <v/>
      </c>
      <c r="D255" s="72" t="str">
        <f t="shared" si="17"/>
        <v/>
      </c>
      <c r="E255" s="84"/>
      <c r="F255" s="122" t="str">
        <f t="shared" si="18"/>
        <v/>
      </c>
      <c r="G255" s="117"/>
      <c r="H255" s="117"/>
      <c r="I255" s="117"/>
      <c r="J255" s="84"/>
      <c r="L255" s="75" t="str">
        <f t="shared" si="19"/>
        <v/>
      </c>
      <c r="M255" s="75" t="str">
        <f t="shared" si="20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6"/>
        <v/>
      </c>
      <c r="D256" s="72" t="str">
        <f t="shared" si="17"/>
        <v/>
      </c>
      <c r="E256" s="84"/>
      <c r="F256" s="122" t="str">
        <f t="shared" si="18"/>
        <v/>
      </c>
      <c r="G256" s="117"/>
      <c r="H256" s="117"/>
      <c r="I256" s="117"/>
      <c r="J256" s="84"/>
      <c r="L256" s="75" t="str">
        <f t="shared" si="19"/>
        <v/>
      </c>
      <c r="M256" s="75" t="str">
        <f t="shared" si="20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6"/>
        <v/>
      </c>
      <c r="D257" s="72" t="str">
        <f t="shared" si="17"/>
        <v/>
      </c>
      <c r="E257" s="84"/>
      <c r="F257" s="122" t="str">
        <f t="shared" si="18"/>
        <v/>
      </c>
      <c r="G257" s="117"/>
      <c r="H257" s="117"/>
      <c r="I257" s="117"/>
      <c r="J257" s="84"/>
      <c r="L257" s="75" t="str">
        <f t="shared" si="19"/>
        <v/>
      </c>
      <c r="M257" s="75" t="str">
        <f t="shared" si="20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6"/>
        <v/>
      </c>
      <c r="D258" s="72" t="str">
        <f t="shared" si="17"/>
        <v/>
      </c>
      <c r="E258" s="84"/>
      <c r="F258" s="122" t="str">
        <f t="shared" si="18"/>
        <v/>
      </c>
      <c r="G258" s="117"/>
      <c r="H258" s="117"/>
      <c r="I258" s="117"/>
      <c r="J258" s="84"/>
      <c r="L258" s="75" t="str">
        <f t="shared" si="19"/>
        <v/>
      </c>
      <c r="M258" s="75" t="str">
        <f t="shared" si="20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16"/>
        <v/>
      </c>
      <c r="D259" s="72" t="str">
        <f t="shared" si="17"/>
        <v/>
      </c>
      <c r="E259" s="84"/>
      <c r="F259" s="122" t="str">
        <f t="shared" si="18"/>
        <v/>
      </c>
      <c r="G259" s="117"/>
      <c r="H259" s="117"/>
      <c r="I259" s="117"/>
      <c r="J259" s="84"/>
      <c r="L259" s="75" t="str">
        <f t="shared" si="19"/>
        <v/>
      </c>
      <c r="M259" s="75" t="str">
        <f t="shared" si="20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ref="C260:C323" si="21">IFERROR(VLOOKUP(E260,$R$6:$U$114,3,FALSE),"")</f>
        <v/>
      </c>
      <c r="D260" s="72" t="str">
        <f t="shared" ref="D260:D323" si="22">IFERROR(VLOOKUP(E260,$R$6:$U$114,4,FALSE),"")</f>
        <v/>
      </c>
      <c r="E260" s="84"/>
      <c r="F260" s="122" t="str">
        <f t="shared" ref="F260:F323" si="23">IFERROR(VLOOKUP(E260,$R$6:$U$114,2,FALSE),"")</f>
        <v/>
      </c>
      <c r="G260" s="117"/>
      <c r="H260" s="117"/>
      <c r="I260" s="117"/>
      <c r="J260" s="84"/>
      <c r="L260" s="75" t="str">
        <f t="shared" si="19"/>
        <v/>
      </c>
      <c r="M260" s="75" t="str">
        <f t="shared" si="20"/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1"/>
        <v/>
      </c>
      <c r="D261" s="72" t="str">
        <f t="shared" si="22"/>
        <v/>
      </c>
      <c r="E261" s="84"/>
      <c r="F261" s="122" t="str">
        <f t="shared" si="23"/>
        <v/>
      </c>
      <c r="G261" s="117"/>
      <c r="H261" s="117"/>
      <c r="I261" s="117"/>
      <c r="J261" s="84"/>
      <c r="L261" s="75" t="str">
        <f t="shared" ref="L261:L324" si="24">LEFT(E261,2)</f>
        <v/>
      </c>
      <c r="M261" s="75" t="str">
        <f t="shared" ref="M261:M324" si="25">LEFT(E261,3)</f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1"/>
        <v/>
      </c>
      <c r="D262" s="72" t="str">
        <f t="shared" si="22"/>
        <v/>
      </c>
      <c r="E262" s="84"/>
      <c r="F262" s="122" t="str">
        <f t="shared" si="23"/>
        <v/>
      </c>
      <c r="G262" s="117"/>
      <c r="H262" s="117"/>
      <c r="I262" s="117"/>
      <c r="J262" s="84"/>
      <c r="L262" s="75" t="str">
        <f t="shared" si="24"/>
        <v/>
      </c>
      <c r="M262" s="75" t="str">
        <f t="shared" si="25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1"/>
        <v/>
      </c>
      <c r="D263" s="72" t="str">
        <f t="shared" si="22"/>
        <v/>
      </c>
      <c r="E263" s="84"/>
      <c r="F263" s="122" t="str">
        <f t="shared" si="23"/>
        <v/>
      </c>
      <c r="G263" s="117"/>
      <c r="H263" s="117"/>
      <c r="I263" s="117"/>
      <c r="J263" s="84"/>
      <c r="L263" s="75" t="str">
        <f t="shared" si="24"/>
        <v/>
      </c>
      <c r="M263" s="75" t="str">
        <f t="shared" si="25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1"/>
        <v/>
      </c>
      <c r="D264" s="72" t="str">
        <f t="shared" si="22"/>
        <v/>
      </c>
      <c r="E264" s="84"/>
      <c r="F264" s="122" t="str">
        <f t="shared" si="23"/>
        <v/>
      </c>
      <c r="G264" s="117"/>
      <c r="H264" s="117"/>
      <c r="I264" s="117"/>
      <c r="J264" s="84"/>
      <c r="L264" s="75" t="str">
        <f t="shared" si="24"/>
        <v/>
      </c>
      <c r="M264" s="75" t="str">
        <f t="shared" si="25"/>
        <v/>
      </c>
    </row>
    <row r="265" spans="1:13">
      <c r="A265" s="337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1"/>
        <v/>
      </c>
      <c r="D265" s="72" t="str">
        <f t="shared" si="22"/>
        <v/>
      </c>
      <c r="E265" s="84"/>
      <c r="F265" s="122" t="str">
        <f t="shared" si="23"/>
        <v/>
      </c>
      <c r="G265" s="117"/>
      <c r="H265" s="117"/>
      <c r="I265" s="117"/>
      <c r="J265" s="84"/>
      <c r="L265" s="75" t="str">
        <f t="shared" si="24"/>
        <v/>
      </c>
      <c r="M265" s="75" t="str">
        <f t="shared" si="25"/>
        <v/>
      </c>
    </row>
    <row r="266" spans="1:13">
      <c r="A266" s="337"/>
      <c r="B266" s="73"/>
      <c r="C266" s="119"/>
      <c r="D266" s="72"/>
      <c r="E266" s="84"/>
      <c r="F266" s="122" t="str">
        <f t="shared" si="23"/>
        <v/>
      </c>
      <c r="G266" s="117"/>
      <c r="H266" s="117"/>
      <c r="I266" s="117"/>
      <c r="J266" s="84"/>
      <c r="L266" s="75" t="str">
        <f t="shared" si="24"/>
        <v/>
      </c>
      <c r="M266" s="75" t="str">
        <f t="shared" si="25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1"/>
        <v/>
      </c>
      <c r="D267" s="72" t="str">
        <f t="shared" si="22"/>
        <v/>
      </c>
      <c r="E267" s="84"/>
      <c r="F267" s="122" t="str">
        <f t="shared" si="23"/>
        <v/>
      </c>
      <c r="G267" s="117"/>
      <c r="H267" s="117"/>
      <c r="I267" s="117"/>
      <c r="J267" s="84"/>
      <c r="L267" s="75" t="str">
        <f t="shared" si="24"/>
        <v/>
      </c>
      <c r="M267" s="75" t="str">
        <f t="shared" si="25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1"/>
        <v/>
      </c>
      <c r="D268" s="72" t="str">
        <f t="shared" si="22"/>
        <v/>
      </c>
      <c r="E268" s="84"/>
      <c r="F268" s="122" t="str">
        <f t="shared" si="23"/>
        <v/>
      </c>
      <c r="G268" s="117"/>
      <c r="H268" s="117"/>
      <c r="I268" s="117"/>
      <c r="J268" s="84"/>
      <c r="L268" s="75" t="str">
        <f t="shared" si="24"/>
        <v/>
      </c>
      <c r="M268" s="75" t="str">
        <f t="shared" si="25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1"/>
        <v/>
      </c>
      <c r="D269" s="72" t="str">
        <f t="shared" si="22"/>
        <v/>
      </c>
      <c r="E269" s="84"/>
      <c r="F269" s="122" t="str">
        <f t="shared" si="23"/>
        <v/>
      </c>
      <c r="G269" s="117"/>
      <c r="H269" s="117"/>
      <c r="I269" s="117"/>
      <c r="J269" s="84"/>
      <c r="L269" s="75" t="str">
        <f t="shared" si="24"/>
        <v/>
      </c>
      <c r="M269" s="75" t="str">
        <f t="shared" si="25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1"/>
        <v/>
      </c>
      <c r="D270" s="72" t="str">
        <f t="shared" si="22"/>
        <v/>
      </c>
      <c r="E270" s="84"/>
      <c r="F270" s="122" t="str">
        <f t="shared" si="23"/>
        <v/>
      </c>
      <c r="G270" s="117"/>
      <c r="H270" s="117"/>
      <c r="I270" s="117"/>
      <c r="J270" s="84"/>
      <c r="L270" s="75" t="str">
        <f t="shared" si="24"/>
        <v/>
      </c>
      <c r="M270" s="75" t="str">
        <f t="shared" si="25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1"/>
        <v/>
      </c>
      <c r="D271" s="72" t="str">
        <f t="shared" si="22"/>
        <v/>
      </c>
      <c r="E271" s="84"/>
      <c r="F271" s="122" t="str">
        <f t="shared" si="23"/>
        <v/>
      </c>
      <c r="G271" s="117"/>
      <c r="H271" s="117"/>
      <c r="I271" s="117"/>
      <c r="J271" s="84"/>
      <c r="L271" s="75" t="str">
        <f t="shared" si="24"/>
        <v/>
      </c>
      <c r="M271" s="75" t="str">
        <f t="shared" si="25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1"/>
        <v/>
      </c>
      <c r="D272" s="72" t="str">
        <f t="shared" si="22"/>
        <v/>
      </c>
      <c r="E272" s="84"/>
      <c r="F272" s="122" t="str">
        <f t="shared" si="23"/>
        <v/>
      </c>
      <c r="G272" s="117"/>
      <c r="H272" s="117"/>
      <c r="I272" s="117"/>
      <c r="J272" s="84"/>
      <c r="L272" s="75" t="str">
        <f t="shared" si="24"/>
        <v/>
      </c>
      <c r="M272" s="75" t="str">
        <f t="shared" si="25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1"/>
        <v/>
      </c>
      <c r="D273" s="72" t="str">
        <f t="shared" si="22"/>
        <v/>
      </c>
      <c r="E273" s="84"/>
      <c r="F273" s="122" t="str">
        <f t="shared" si="23"/>
        <v/>
      </c>
      <c r="G273" s="117"/>
      <c r="H273" s="117"/>
      <c r="I273" s="117"/>
      <c r="J273" s="84"/>
      <c r="L273" s="75" t="str">
        <f t="shared" si="24"/>
        <v/>
      </c>
      <c r="M273" s="75" t="str">
        <f t="shared" si="25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1"/>
        <v/>
      </c>
      <c r="D274" s="72" t="str">
        <f t="shared" si="22"/>
        <v/>
      </c>
      <c r="E274" s="84"/>
      <c r="F274" s="122" t="str">
        <f t="shared" si="23"/>
        <v/>
      </c>
      <c r="G274" s="117"/>
      <c r="H274" s="117"/>
      <c r="I274" s="117"/>
      <c r="J274" s="84"/>
      <c r="L274" s="75" t="str">
        <f t="shared" si="24"/>
        <v/>
      </c>
      <c r="M274" s="75" t="str">
        <f t="shared" si="25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1"/>
        <v/>
      </c>
      <c r="D275" s="72" t="str">
        <f t="shared" si="22"/>
        <v/>
      </c>
      <c r="E275" s="84"/>
      <c r="F275" s="122" t="str">
        <f t="shared" si="23"/>
        <v/>
      </c>
      <c r="G275" s="117"/>
      <c r="H275" s="117"/>
      <c r="I275" s="117"/>
      <c r="J275" s="84"/>
      <c r="L275" s="75" t="str">
        <f t="shared" si="24"/>
        <v/>
      </c>
      <c r="M275" s="75" t="str">
        <f t="shared" si="25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1"/>
        <v/>
      </c>
      <c r="D276" s="72" t="str">
        <f t="shared" si="22"/>
        <v/>
      </c>
      <c r="E276" s="84"/>
      <c r="F276" s="122" t="str">
        <f t="shared" si="23"/>
        <v/>
      </c>
      <c r="G276" s="117"/>
      <c r="H276" s="117"/>
      <c r="I276" s="117"/>
      <c r="J276" s="84"/>
      <c r="L276" s="75" t="str">
        <f t="shared" si="24"/>
        <v/>
      </c>
      <c r="M276" s="75" t="str">
        <f t="shared" si="25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1"/>
        <v/>
      </c>
      <c r="D277" s="72" t="str">
        <f t="shared" si="22"/>
        <v/>
      </c>
      <c r="E277" s="84"/>
      <c r="F277" s="122" t="str">
        <f t="shared" si="23"/>
        <v/>
      </c>
      <c r="G277" s="117"/>
      <c r="H277" s="117"/>
      <c r="I277" s="117"/>
      <c r="J277" s="84"/>
      <c r="L277" s="75" t="str">
        <f t="shared" si="24"/>
        <v/>
      </c>
      <c r="M277" s="75" t="str">
        <f t="shared" si="25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1"/>
        <v/>
      </c>
      <c r="D278" s="72" t="str">
        <f t="shared" si="22"/>
        <v/>
      </c>
      <c r="E278" s="84"/>
      <c r="F278" s="122" t="str">
        <f t="shared" si="23"/>
        <v/>
      </c>
      <c r="G278" s="117"/>
      <c r="H278" s="117"/>
      <c r="I278" s="117"/>
      <c r="J278" s="84"/>
      <c r="L278" s="75" t="str">
        <f t="shared" si="24"/>
        <v/>
      </c>
      <c r="M278" s="75" t="str">
        <f t="shared" si="25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1"/>
        <v/>
      </c>
      <c r="D279" s="72" t="str">
        <f t="shared" si="22"/>
        <v/>
      </c>
      <c r="E279" s="84"/>
      <c r="F279" s="122" t="str">
        <f t="shared" si="23"/>
        <v/>
      </c>
      <c r="G279" s="117"/>
      <c r="H279" s="117"/>
      <c r="I279" s="117"/>
      <c r="J279" s="84"/>
      <c r="L279" s="75" t="str">
        <f t="shared" si="24"/>
        <v/>
      </c>
      <c r="M279" s="75" t="str">
        <f t="shared" si="25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1"/>
        <v/>
      </c>
      <c r="D280" s="72" t="str">
        <f t="shared" si="22"/>
        <v/>
      </c>
      <c r="E280" s="84"/>
      <c r="F280" s="122" t="str">
        <f t="shared" si="23"/>
        <v/>
      </c>
      <c r="G280" s="117"/>
      <c r="H280" s="117"/>
      <c r="I280" s="117"/>
      <c r="J280" s="84"/>
      <c r="L280" s="75" t="str">
        <f t="shared" si="24"/>
        <v/>
      </c>
      <c r="M280" s="75" t="str">
        <f t="shared" si="25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1"/>
        <v/>
      </c>
      <c r="D281" s="72" t="str">
        <f t="shared" si="22"/>
        <v/>
      </c>
      <c r="E281" s="84"/>
      <c r="F281" s="122" t="str">
        <f t="shared" si="23"/>
        <v/>
      </c>
      <c r="G281" s="117"/>
      <c r="H281" s="117"/>
      <c r="I281" s="117"/>
      <c r="J281" s="84"/>
      <c r="L281" s="75" t="str">
        <f t="shared" si="24"/>
        <v/>
      </c>
      <c r="M281" s="75" t="str">
        <f t="shared" si="25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1"/>
        <v/>
      </c>
      <c r="D282" s="72" t="str">
        <f t="shared" si="22"/>
        <v/>
      </c>
      <c r="E282" s="84"/>
      <c r="F282" s="122" t="str">
        <f t="shared" si="23"/>
        <v/>
      </c>
      <c r="G282" s="117"/>
      <c r="H282" s="117"/>
      <c r="I282" s="117"/>
      <c r="J282" s="84"/>
      <c r="L282" s="75" t="str">
        <f t="shared" si="24"/>
        <v/>
      </c>
      <c r="M282" s="75" t="str">
        <f t="shared" si="25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1"/>
        <v/>
      </c>
      <c r="D283" s="72" t="str">
        <f t="shared" si="22"/>
        <v/>
      </c>
      <c r="E283" s="84"/>
      <c r="F283" s="122" t="str">
        <f t="shared" si="23"/>
        <v/>
      </c>
      <c r="G283" s="117"/>
      <c r="H283" s="117"/>
      <c r="I283" s="117"/>
      <c r="J283" s="84"/>
      <c r="L283" s="75" t="str">
        <f t="shared" si="24"/>
        <v/>
      </c>
      <c r="M283" s="75" t="str">
        <f t="shared" si="25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1"/>
        <v/>
      </c>
      <c r="D284" s="72" t="str">
        <f t="shared" si="22"/>
        <v/>
      </c>
      <c r="E284" s="84"/>
      <c r="F284" s="122" t="str">
        <f t="shared" si="23"/>
        <v/>
      </c>
      <c r="G284" s="117"/>
      <c r="H284" s="117"/>
      <c r="I284" s="117"/>
      <c r="J284" s="84"/>
      <c r="L284" s="75" t="str">
        <f t="shared" si="24"/>
        <v/>
      </c>
      <c r="M284" s="75" t="str">
        <f t="shared" si="25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1"/>
        <v/>
      </c>
      <c r="D285" s="72" t="str">
        <f t="shared" si="22"/>
        <v/>
      </c>
      <c r="E285" s="84"/>
      <c r="F285" s="122" t="str">
        <f t="shared" si="23"/>
        <v/>
      </c>
      <c r="G285" s="117"/>
      <c r="H285" s="117"/>
      <c r="I285" s="117"/>
      <c r="J285" s="84"/>
      <c r="L285" s="75" t="str">
        <f t="shared" si="24"/>
        <v/>
      </c>
      <c r="M285" s="75" t="str">
        <f t="shared" si="25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1"/>
        <v/>
      </c>
      <c r="D286" s="72" t="str">
        <f t="shared" si="22"/>
        <v/>
      </c>
      <c r="E286" s="84"/>
      <c r="F286" s="122" t="str">
        <f t="shared" si="23"/>
        <v/>
      </c>
      <c r="G286" s="117"/>
      <c r="H286" s="117"/>
      <c r="I286" s="117"/>
      <c r="J286" s="84"/>
      <c r="L286" s="75" t="str">
        <f t="shared" si="24"/>
        <v/>
      </c>
      <c r="M286" s="75" t="str">
        <f t="shared" si="25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1"/>
        <v/>
      </c>
      <c r="D287" s="72" t="str">
        <f t="shared" si="22"/>
        <v/>
      </c>
      <c r="E287" s="84"/>
      <c r="F287" s="122" t="str">
        <f t="shared" si="23"/>
        <v/>
      </c>
      <c r="G287" s="117"/>
      <c r="H287" s="117"/>
      <c r="I287" s="117"/>
      <c r="J287" s="84"/>
      <c r="L287" s="75" t="str">
        <f t="shared" si="24"/>
        <v/>
      </c>
      <c r="M287" s="75" t="str">
        <f t="shared" si="25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1"/>
        <v/>
      </c>
      <c r="D288" s="72" t="str">
        <f t="shared" si="22"/>
        <v/>
      </c>
      <c r="E288" s="84"/>
      <c r="F288" s="122" t="str">
        <f t="shared" si="23"/>
        <v/>
      </c>
      <c r="G288" s="117"/>
      <c r="H288" s="117"/>
      <c r="I288" s="117"/>
      <c r="J288" s="84"/>
      <c r="L288" s="75" t="str">
        <f t="shared" si="24"/>
        <v/>
      </c>
      <c r="M288" s="75" t="str">
        <f t="shared" si="25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1"/>
        <v/>
      </c>
      <c r="D289" s="72" t="str">
        <f t="shared" si="22"/>
        <v/>
      </c>
      <c r="E289" s="84"/>
      <c r="F289" s="122" t="str">
        <f t="shared" si="23"/>
        <v/>
      </c>
      <c r="G289" s="117"/>
      <c r="H289" s="117"/>
      <c r="I289" s="117"/>
      <c r="J289" s="84"/>
      <c r="L289" s="75" t="str">
        <f t="shared" si="24"/>
        <v/>
      </c>
      <c r="M289" s="75" t="str">
        <f t="shared" si="25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1"/>
        <v/>
      </c>
      <c r="D290" s="72" t="str">
        <f t="shared" si="22"/>
        <v/>
      </c>
      <c r="E290" s="84"/>
      <c r="F290" s="122" t="str">
        <f t="shared" si="23"/>
        <v/>
      </c>
      <c r="G290" s="117"/>
      <c r="H290" s="117"/>
      <c r="I290" s="117"/>
      <c r="J290" s="84"/>
      <c r="L290" s="75" t="str">
        <f t="shared" si="24"/>
        <v/>
      </c>
      <c r="M290" s="75" t="str">
        <f t="shared" si="25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1"/>
        <v/>
      </c>
      <c r="D291" s="72" t="str">
        <f t="shared" si="22"/>
        <v/>
      </c>
      <c r="E291" s="84"/>
      <c r="F291" s="122" t="str">
        <f t="shared" si="23"/>
        <v/>
      </c>
      <c r="G291" s="117"/>
      <c r="H291" s="117"/>
      <c r="I291" s="117"/>
      <c r="J291" s="84"/>
      <c r="L291" s="75" t="str">
        <f t="shared" si="24"/>
        <v/>
      </c>
      <c r="M291" s="75" t="str">
        <f t="shared" si="25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1"/>
        <v/>
      </c>
      <c r="D292" s="72" t="str">
        <f t="shared" si="22"/>
        <v/>
      </c>
      <c r="E292" s="84"/>
      <c r="F292" s="122" t="str">
        <f t="shared" si="23"/>
        <v/>
      </c>
      <c r="G292" s="117"/>
      <c r="H292" s="117"/>
      <c r="I292" s="117"/>
      <c r="J292" s="84"/>
      <c r="L292" s="75" t="str">
        <f t="shared" si="24"/>
        <v/>
      </c>
      <c r="M292" s="75" t="str">
        <f t="shared" si="25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1"/>
        <v/>
      </c>
      <c r="D293" s="72" t="str">
        <f t="shared" si="22"/>
        <v/>
      </c>
      <c r="E293" s="84"/>
      <c r="F293" s="122" t="str">
        <f t="shared" si="23"/>
        <v/>
      </c>
      <c r="G293" s="117"/>
      <c r="H293" s="117"/>
      <c r="I293" s="117"/>
      <c r="J293" s="84"/>
      <c r="L293" s="75" t="str">
        <f t="shared" si="24"/>
        <v/>
      </c>
      <c r="M293" s="75" t="str">
        <f t="shared" si="25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1"/>
        <v/>
      </c>
      <c r="D294" s="72" t="str">
        <f t="shared" si="22"/>
        <v/>
      </c>
      <c r="E294" s="84"/>
      <c r="F294" s="122" t="str">
        <f t="shared" si="23"/>
        <v/>
      </c>
      <c r="G294" s="117"/>
      <c r="H294" s="117"/>
      <c r="I294" s="117"/>
      <c r="J294" s="84"/>
      <c r="L294" s="75" t="str">
        <f t="shared" si="24"/>
        <v/>
      </c>
      <c r="M294" s="75" t="str">
        <f t="shared" si="25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1"/>
        <v/>
      </c>
      <c r="D295" s="72" t="str">
        <f t="shared" si="22"/>
        <v/>
      </c>
      <c r="E295" s="84"/>
      <c r="F295" s="122" t="str">
        <f t="shared" si="23"/>
        <v/>
      </c>
      <c r="G295" s="117"/>
      <c r="H295" s="117"/>
      <c r="I295" s="117"/>
      <c r="J295" s="84"/>
      <c r="L295" s="75" t="str">
        <f t="shared" si="24"/>
        <v/>
      </c>
      <c r="M295" s="75" t="str">
        <f t="shared" si="25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1"/>
        <v/>
      </c>
      <c r="D296" s="72" t="str">
        <f t="shared" si="22"/>
        <v/>
      </c>
      <c r="E296" s="84"/>
      <c r="F296" s="122" t="str">
        <f t="shared" si="23"/>
        <v/>
      </c>
      <c r="G296" s="117"/>
      <c r="H296" s="117"/>
      <c r="I296" s="117"/>
      <c r="J296" s="84"/>
      <c r="L296" s="75" t="str">
        <f t="shared" si="24"/>
        <v/>
      </c>
      <c r="M296" s="75" t="str">
        <f t="shared" si="25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1"/>
        <v/>
      </c>
      <c r="D297" s="72" t="str">
        <f t="shared" si="22"/>
        <v/>
      </c>
      <c r="E297" s="84"/>
      <c r="F297" s="122" t="str">
        <f t="shared" si="23"/>
        <v/>
      </c>
      <c r="G297" s="117"/>
      <c r="H297" s="117"/>
      <c r="I297" s="117"/>
      <c r="J297" s="84"/>
      <c r="L297" s="75" t="str">
        <f t="shared" si="24"/>
        <v/>
      </c>
      <c r="M297" s="75" t="str">
        <f t="shared" si="25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1"/>
        <v/>
      </c>
      <c r="D298" s="72" t="str">
        <f t="shared" si="22"/>
        <v/>
      </c>
      <c r="E298" s="84"/>
      <c r="F298" s="122" t="str">
        <f t="shared" si="23"/>
        <v/>
      </c>
      <c r="G298" s="117"/>
      <c r="H298" s="117"/>
      <c r="I298" s="117"/>
      <c r="J298" s="84"/>
      <c r="L298" s="75" t="str">
        <f t="shared" si="24"/>
        <v/>
      </c>
      <c r="M298" s="75" t="str">
        <f t="shared" si="25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1"/>
        <v/>
      </c>
      <c r="D299" s="72" t="str">
        <f t="shared" si="22"/>
        <v/>
      </c>
      <c r="E299" s="84"/>
      <c r="F299" s="122" t="str">
        <f t="shared" si="23"/>
        <v/>
      </c>
      <c r="G299" s="117"/>
      <c r="H299" s="117"/>
      <c r="I299" s="117"/>
      <c r="J299" s="84"/>
      <c r="L299" s="75" t="str">
        <f t="shared" si="24"/>
        <v/>
      </c>
      <c r="M299" s="75" t="str">
        <f t="shared" si="25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1"/>
        <v/>
      </c>
      <c r="D300" s="72" t="str">
        <f t="shared" si="22"/>
        <v/>
      </c>
      <c r="E300" s="84"/>
      <c r="F300" s="122" t="str">
        <f t="shared" si="23"/>
        <v/>
      </c>
      <c r="G300" s="117"/>
      <c r="H300" s="117"/>
      <c r="I300" s="117"/>
      <c r="J300" s="84"/>
      <c r="L300" s="75" t="str">
        <f t="shared" si="24"/>
        <v/>
      </c>
      <c r="M300" s="75" t="str">
        <f t="shared" si="25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1"/>
        <v/>
      </c>
      <c r="D301" s="72" t="str">
        <f t="shared" si="22"/>
        <v/>
      </c>
      <c r="E301" s="84"/>
      <c r="F301" s="122" t="str">
        <f t="shared" si="23"/>
        <v/>
      </c>
      <c r="G301" s="117"/>
      <c r="H301" s="117"/>
      <c r="I301" s="117"/>
      <c r="J301" s="84"/>
      <c r="L301" s="75" t="str">
        <f t="shared" si="24"/>
        <v/>
      </c>
      <c r="M301" s="75" t="str">
        <f t="shared" si="25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1"/>
        <v/>
      </c>
      <c r="D302" s="72" t="str">
        <f t="shared" si="22"/>
        <v/>
      </c>
      <c r="E302" s="84"/>
      <c r="F302" s="122" t="str">
        <f t="shared" si="23"/>
        <v/>
      </c>
      <c r="G302" s="117"/>
      <c r="H302" s="117"/>
      <c r="I302" s="117"/>
      <c r="J302" s="84"/>
      <c r="L302" s="75" t="str">
        <f t="shared" si="24"/>
        <v/>
      </c>
      <c r="M302" s="75" t="str">
        <f t="shared" si="25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1"/>
        <v/>
      </c>
      <c r="D303" s="72" t="str">
        <f t="shared" si="22"/>
        <v/>
      </c>
      <c r="E303" s="84"/>
      <c r="F303" s="122" t="str">
        <f t="shared" si="23"/>
        <v/>
      </c>
      <c r="G303" s="117"/>
      <c r="H303" s="117"/>
      <c r="I303" s="117"/>
      <c r="J303" s="84"/>
      <c r="L303" s="75" t="str">
        <f t="shared" si="24"/>
        <v/>
      </c>
      <c r="M303" s="75" t="str">
        <f t="shared" si="25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1"/>
        <v/>
      </c>
      <c r="D304" s="72" t="str">
        <f t="shared" si="22"/>
        <v/>
      </c>
      <c r="E304" s="84"/>
      <c r="F304" s="122" t="str">
        <f t="shared" si="23"/>
        <v/>
      </c>
      <c r="G304" s="117"/>
      <c r="H304" s="117"/>
      <c r="I304" s="117"/>
      <c r="J304" s="84"/>
      <c r="L304" s="75" t="str">
        <f t="shared" si="24"/>
        <v/>
      </c>
      <c r="M304" s="75" t="str">
        <f t="shared" si="25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1"/>
        <v/>
      </c>
      <c r="D305" s="72" t="str">
        <f t="shared" si="22"/>
        <v/>
      </c>
      <c r="E305" s="84"/>
      <c r="F305" s="122" t="str">
        <f t="shared" si="23"/>
        <v/>
      </c>
      <c r="G305" s="117"/>
      <c r="H305" s="117"/>
      <c r="I305" s="117"/>
      <c r="J305" s="84"/>
      <c r="L305" s="75" t="str">
        <f t="shared" si="24"/>
        <v/>
      </c>
      <c r="M305" s="75" t="str">
        <f t="shared" si="25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1"/>
        <v/>
      </c>
      <c r="D306" s="72" t="str">
        <f t="shared" si="22"/>
        <v/>
      </c>
      <c r="E306" s="84"/>
      <c r="F306" s="122" t="str">
        <f t="shared" si="23"/>
        <v/>
      </c>
      <c r="G306" s="117"/>
      <c r="H306" s="117"/>
      <c r="I306" s="117"/>
      <c r="J306" s="84"/>
      <c r="L306" s="75" t="str">
        <f t="shared" si="24"/>
        <v/>
      </c>
      <c r="M306" s="75" t="str">
        <f t="shared" si="25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1"/>
        <v/>
      </c>
      <c r="D307" s="72" t="str">
        <f t="shared" si="22"/>
        <v/>
      </c>
      <c r="E307" s="84"/>
      <c r="F307" s="122" t="str">
        <f t="shared" si="23"/>
        <v/>
      </c>
      <c r="G307" s="117"/>
      <c r="H307" s="117"/>
      <c r="I307" s="117"/>
      <c r="J307" s="84"/>
      <c r="L307" s="75" t="str">
        <f t="shared" si="24"/>
        <v/>
      </c>
      <c r="M307" s="75" t="str">
        <f t="shared" si="25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1"/>
        <v/>
      </c>
      <c r="D308" s="72" t="str">
        <f t="shared" si="22"/>
        <v/>
      </c>
      <c r="E308" s="84"/>
      <c r="F308" s="122" t="str">
        <f t="shared" si="23"/>
        <v/>
      </c>
      <c r="G308" s="117"/>
      <c r="H308" s="117"/>
      <c r="I308" s="117"/>
      <c r="J308" s="84"/>
      <c r="L308" s="75" t="str">
        <f t="shared" si="24"/>
        <v/>
      </c>
      <c r="M308" s="75" t="str">
        <f t="shared" si="25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1"/>
        <v/>
      </c>
      <c r="D309" s="72" t="str">
        <f t="shared" si="22"/>
        <v/>
      </c>
      <c r="E309" s="84"/>
      <c r="F309" s="122" t="str">
        <f t="shared" si="23"/>
        <v/>
      </c>
      <c r="G309" s="117"/>
      <c r="H309" s="117"/>
      <c r="I309" s="117"/>
      <c r="J309" s="84"/>
      <c r="L309" s="75" t="str">
        <f t="shared" si="24"/>
        <v/>
      </c>
      <c r="M309" s="75" t="str">
        <f t="shared" si="25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1"/>
        <v/>
      </c>
      <c r="D310" s="72" t="str">
        <f t="shared" si="22"/>
        <v/>
      </c>
      <c r="E310" s="84"/>
      <c r="F310" s="122" t="str">
        <f t="shared" si="23"/>
        <v/>
      </c>
      <c r="G310" s="117"/>
      <c r="H310" s="117"/>
      <c r="I310" s="117"/>
      <c r="J310" s="84"/>
      <c r="L310" s="75" t="str">
        <f t="shared" si="24"/>
        <v/>
      </c>
      <c r="M310" s="75" t="str">
        <f t="shared" si="25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1"/>
        <v/>
      </c>
      <c r="D311" s="72" t="str">
        <f t="shared" si="22"/>
        <v/>
      </c>
      <c r="E311" s="84"/>
      <c r="F311" s="122" t="str">
        <f t="shared" si="23"/>
        <v/>
      </c>
      <c r="G311" s="117"/>
      <c r="H311" s="117"/>
      <c r="I311" s="117"/>
      <c r="J311" s="84"/>
      <c r="L311" s="75" t="str">
        <f t="shared" si="24"/>
        <v/>
      </c>
      <c r="M311" s="75" t="str">
        <f t="shared" si="25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1"/>
        <v/>
      </c>
      <c r="D312" s="72" t="str">
        <f t="shared" si="22"/>
        <v/>
      </c>
      <c r="E312" s="84"/>
      <c r="F312" s="122" t="str">
        <f t="shared" si="23"/>
        <v/>
      </c>
      <c r="G312" s="117"/>
      <c r="H312" s="117"/>
      <c r="I312" s="117"/>
      <c r="J312" s="84"/>
      <c r="L312" s="75" t="str">
        <f t="shared" si="24"/>
        <v/>
      </c>
      <c r="M312" s="75" t="str">
        <f t="shared" si="25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1"/>
        <v/>
      </c>
      <c r="D313" s="72" t="str">
        <f t="shared" si="22"/>
        <v/>
      </c>
      <c r="E313" s="84"/>
      <c r="F313" s="122" t="str">
        <f t="shared" si="23"/>
        <v/>
      </c>
      <c r="G313" s="117"/>
      <c r="H313" s="117"/>
      <c r="I313" s="117"/>
      <c r="J313" s="84"/>
      <c r="L313" s="75" t="str">
        <f t="shared" si="24"/>
        <v/>
      </c>
      <c r="M313" s="75" t="str">
        <f t="shared" si="25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1"/>
        <v/>
      </c>
      <c r="D314" s="72" t="str">
        <f t="shared" si="22"/>
        <v/>
      </c>
      <c r="E314" s="84"/>
      <c r="F314" s="122" t="str">
        <f t="shared" si="23"/>
        <v/>
      </c>
      <c r="G314" s="117"/>
      <c r="H314" s="117"/>
      <c r="I314" s="117"/>
      <c r="J314" s="84"/>
      <c r="L314" s="75" t="str">
        <f t="shared" si="24"/>
        <v/>
      </c>
      <c r="M314" s="75" t="str">
        <f t="shared" si="25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1"/>
        <v/>
      </c>
      <c r="D315" s="72" t="str">
        <f t="shared" si="22"/>
        <v/>
      </c>
      <c r="E315" s="84"/>
      <c r="F315" s="122" t="str">
        <f t="shared" si="23"/>
        <v/>
      </c>
      <c r="G315" s="117"/>
      <c r="H315" s="117"/>
      <c r="I315" s="117"/>
      <c r="J315" s="84"/>
      <c r="L315" s="75" t="str">
        <f t="shared" si="24"/>
        <v/>
      </c>
      <c r="M315" s="75" t="str">
        <f t="shared" si="25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1"/>
        <v/>
      </c>
      <c r="D316" s="72" t="str">
        <f t="shared" si="22"/>
        <v/>
      </c>
      <c r="E316" s="84"/>
      <c r="F316" s="122" t="str">
        <f t="shared" si="23"/>
        <v/>
      </c>
      <c r="G316" s="117"/>
      <c r="H316" s="117"/>
      <c r="I316" s="117"/>
      <c r="J316" s="84"/>
      <c r="L316" s="75" t="str">
        <f t="shared" si="24"/>
        <v/>
      </c>
      <c r="M316" s="75" t="str">
        <f t="shared" si="25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1"/>
        <v/>
      </c>
      <c r="D317" s="72" t="str">
        <f t="shared" si="22"/>
        <v/>
      </c>
      <c r="E317" s="84"/>
      <c r="F317" s="122" t="str">
        <f t="shared" si="23"/>
        <v/>
      </c>
      <c r="G317" s="117"/>
      <c r="H317" s="117"/>
      <c r="I317" s="117"/>
      <c r="J317" s="84"/>
      <c r="L317" s="75" t="str">
        <f t="shared" si="24"/>
        <v/>
      </c>
      <c r="M317" s="75" t="str">
        <f t="shared" si="25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1"/>
        <v/>
      </c>
      <c r="D318" s="72" t="str">
        <f t="shared" si="22"/>
        <v/>
      </c>
      <c r="E318" s="84"/>
      <c r="F318" s="122" t="str">
        <f t="shared" si="23"/>
        <v/>
      </c>
      <c r="G318" s="117"/>
      <c r="H318" s="117"/>
      <c r="I318" s="117"/>
      <c r="J318" s="84"/>
      <c r="L318" s="75" t="str">
        <f t="shared" si="24"/>
        <v/>
      </c>
      <c r="M318" s="75" t="str">
        <f t="shared" si="25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1"/>
        <v/>
      </c>
      <c r="D319" s="72" t="str">
        <f t="shared" si="22"/>
        <v/>
      </c>
      <c r="E319" s="84"/>
      <c r="F319" s="122" t="str">
        <f t="shared" si="23"/>
        <v/>
      </c>
      <c r="G319" s="117"/>
      <c r="H319" s="117"/>
      <c r="I319" s="117"/>
      <c r="J319" s="84"/>
      <c r="L319" s="75" t="str">
        <f t="shared" si="24"/>
        <v/>
      </c>
      <c r="M319" s="75" t="str">
        <f t="shared" si="25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1"/>
        <v/>
      </c>
      <c r="D320" s="72" t="str">
        <f t="shared" si="22"/>
        <v/>
      </c>
      <c r="E320" s="84"/>
      <c r="F320" s="122" t="str">
        <f t="shared" si="23"/>
        <v/>
      </c>
      <c r="G320" s="117"/>
      <c r="H320" s="117"/>
      <c r="I320" s="117"/>
      <c r="J320" s="84"/>
      <c r="L320" s="75" t="str">
        <f t="shared" si="24"/>
        <v/>
      </c>
      <c r="M320" s="75" t="str">
        <f t="shared" si="25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1"/>
        <v/>
      </c>
      <c r="D321" s="72" t="str">
        <f t="shared" si="22"/>
        <v/>
      </c>
      <c r="E321" s="84"/>
      <c r="F321" s="122" t="str">
        <f t="shared" si="23"/>
        <v/>
      </c>
      <c r="G321" s="117"/>
      <c r="H321" s="117"/>
      <c r="I321" s="117"/>
      <c r="J321" s="84"/>
      <c r="L321" s="75" t="str">
        <f t="shared" si="24"/>
        <v/>
      </c>
      <c r="M321" s="75" t="str">
        <f t="shared" si="25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1"/>
        <v/>
      </c>
      <c r="D322" s="72" t="str">
        <f t="shared" si="22"/>
        <v/>
      </c>
      <c r="E322" s="84"/>
      <c r="F322" s="122" t="str">
        <f t="shared" si="23"/>
        <v/>
      </c>
      <c r="G322" s="117"/>
      <c r="H322" s="117"/>
      <c r="I322" s="117"/>
      <c r="J322" s="84"/>
      <c r="L322" s="75" t="str">
        <f t="shared" si="24"/>
        <v/>
      </c>
      <c r="M322" s="75" t="str">
        <f t="shared" si="25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1"/>
        <v/>
      </c>
      <c r="D323" s="72" t="str">
        <f t="shared" si="22"/>
        <v/>
      </c>
      <c r="E323" s="84"/>
      <c r="F323" s="122" t="str">
        <f t="shared" si="23"/>
        <v/>
      </c>
      <c r="G323" s="117"/>
      <c r="H323" s="117"/>
      <c r="I323" s="117"/>
      <c r="J323" s="84"/>
      <c r="L323" s="75" t="str">
        <f t="shared" si="24"/>
        <v/>
      </c>
      <c r="M323" s="75" t="str">
        <f t="shared" si="25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ref="C324:C387" si="26">IFERROR(VLOOKUP(E324,$R$6:$U$114,3,FALSE),"")</f>
        <v/>
      </c>
      <c r="D324" s="72" t="str">
        <f t="shared" ref="D324:D387" si="27">IFERROR(VLOOKUP(E324,$R$6:$U$114,4,FALSE),"")</f>
        <v/>
      </c>
      <c r="E324" s="84"/>
      <c r="F324" s="122" t="str">
        <f t="shared" ref="F324:F387" si="28">IFERROR(VLOOKUP(E324,$R$6:$U$114,2,FALSE),"")</f>
        <v/>
      </c>
      <c r="G324" s="117"/>
      <c r="H324" s="117"/>
      <c r="I324" s="117"/>
      <c r="J324" s="84"/>
      <c r="L324" s="75" t="str">
        <f t="shared" si="24"/>
        <v/>
      </c>
      <c r="M324" s="75" t="str">
        <f t="shared" si="25"/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6"/>
        <v/>
      </c>
      <c r="D325" s="72" t="str">
        <f t="shared" si="27"/>
        <v/>
      </c>
      <c r="E325" s="84"/>
      <c r="F325" s="122" t="str">
        <f t="shared" si="28"/>
        <v/>
      </c>
      <c r="G325" s="117"/>
      <c r="H325" s="117"/>
      <c r="I325" s="117"/>
      <c r="J325" s="84"/>
      <c r="L325" s="75" t="str">
        <f t="shared" ref="L325:L388" si="29">LEFT(E325,2)</f>
        <v/>
      </c>
      <c r="M325" s="75" t="str">
        <f t="shared" ref="M325:M388" si="30">LEFT(E325,3)</f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6"/>
        <v/>
      </c>
      <c r="D326" s="72" t="str">
        <f t="shared" si="27"/>
        <v/>
      </c>
      <c r="E326" s="84"/>
      <c r="F326" s="122" t="str">
        <f t="shared" si="28"/>
        <v/>
      </c>
      <c r="G326" s="117"/>
      <c r="H326" s="117"/>
      <c r="I326" s="117"/>
      <c r="J326" s="84"/>
      <c r="L326" s="75" t="str">
        <f t="shared" si="29"/>
        <v/>
      </c>
      <c r="M326" s="75" t="str">
        <f t="shared" si="30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6"/>
        <v/>
      </c>
      <c r="D327" s="72" t="str">
        <f t="shared" si="27"/>
        <v/>
      </c>
      <c r="E327" s="84"/>
      <c r="F327" s="122" t="str">
        <f t="shared" si="28"/>
        <v/>
      </c>
      <c r="G327" s="117"/>
      <c r="H327" s="117"/>
      <c r="I327" s="117"/>
      <c r="J327" s="84"/>
      <c r="L327" s="75" t="str">
        <f t="shared" si="29"/>
        <v/>
      </c>
      <c r="M327" s="75" t="str">
        <f t="shared" si="30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6"/>
        <v/>
      </c>
      <c r="D328" s="72" t="str">
        <f t="shared" si="27"/>
        <v/>
      </c>
      <c r="E328" s="84"/>
      <c r="F328" s="122" t="str">
        <f t="shared" si="28"/>
        <v/>
      </c>
      <c r="G328" s="117"/>
      <c r="H328" s="117"/>
      <c r="I328" s="117"/>
      <c r="J328" s="84"/>
      <c r="L328" s="75" t="str">
        <f t="shared" si="29"/>
        <v/>
      </c>
      <c r="M328" s="75" t="str">
        <f t="shared" si="30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6"/>
        <v/>
      </c>
      <c r="D329" s="72" t="str">
        <f t="shared" si="27"/>
        <v/>
      </c>
      <c r="E329" s="84"/>
      <c r="F329" s="122" t="str">
        <f t="shared" si="28"/>
        <v/>
      </c>
      <c r="G329" s="117"/>
      <c r="H329" s="117"/>
      <c r="I329" s="117"/>
      <c r="J329" s="84"/>
      <c r="L329" s="75" t="str">
        <f t="shared" si="29"/>
        <v/>
      </c>
      <c r="M329" s="75" t="str">
        <f t="shared" si="30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6"/>
        <v/>
      </c>
      <c r="D330" s="72" t="str">
        <f t="shared" si="27"/>
        <v/>
      </c>
      <c r="E330" s="84"/>
      <c r="F330" s="122" t="str">
        <f t="shared" si="28"/>
        <v/>
      </c>
      <c r="G330" s="117"/>
      <c r="H330" s="117"/>
      <c r="I330" s="117"/>
      <c r="J330" s="84"/>
      <c r="L330" s="75" t="str">
        <f t="shared" si="29"/>
        <v/>
      </c>
      <c r="M330" s="75" t="str">
        <f t="shared" si="30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6"/>
        <v/>
      </c>
      <c r="D331" s="72" t="str">
        <f t="shared" si="27"/>
        <v/>
      </c>
      <c r="E331" s="84"/>
      <c r="F331" s="122" t="str">
        <f t="shared" si="28"/>
        <v/>
      </c>
      <c r="G331" s="117"/>
      <c r="H331" s="117"/>
      <c r="I331" s="117"/>
      <c r="J331" s="84"/>
      <c r="L331" s="75" t="str">
        <f t="shared" si="29"/>
        <v/>
      </c>
      <c r="M331" s="75" t="str">
        <f t="shared" si="30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6"/>
        <v/>
      </c>
      <c r="D332" s="72" t="str">
        <f t="shared" si="27"/>
        <v/>
      </c>
      <c r="E332" s="84"/>
      <c r="F332" s="122" t="str">
        <f t="shared" si="28"/>
        <v/>
      </c>
      <c r="G332" s="117"/>
      <c r="H332" s="117"/>
      <c r="I332" s="117"/>
      <c r="J332" s="84"/>
      <c r="L332" s="75" t="str">
        <f t="shared" si="29"/>
        <v/>
      </c>
      <c r="M332" s="75" t="str">
        <f t="shared" si="30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6"/>
        <v/>
      </c>
      <c r="D333" s="72" t="str">
        <f t="shared" si="27"/>
        <v/>
      </c>
      <c r="E333" s="84"/>
      <c r="F333" s="122" t="str">
        <f t="shared" si="28"/>
        <v/>
      </c>
      <c r="G333" s="117"/>
      <c r="H333" s="117"/>
      <c r="I333" s="117"/>
      <c r="J333" s="84"/>
      <c r="L333" s="75" t="str">
        <f t="shared" si="29"/>
        <v/>
      </c>
      <c r="M333" s="75" t="str">
        <f t="shared" si="30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6"/>
        <v/>
      </c>
      <c r="D334" s="72" t="str">
        <f t="shared" si="27"/>
        <v/>
      </c>
      <c r="E334" s="84"/>
      <c r="F334" s="122" t="str">
        <f t="shared" si="28"/>
        <v/>
      </c>
      <c r="G334" s="117"/>
      <c r="H334" s="117"/>
      <c r="I334" s="117"/>
      <c r="J334" s="84"/>
      <c r="L334" s="75" t="str">
        <f t="shared" si="29"/>
        <v/>
      </c>
      <c r="M334" s="75" t="str">
        <f t="shared" si="30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6"/>
        <v/>
      </c>
      <c r="D335" s="72" t="str">
        <f t="shared" si="27"/>
        <v/>
      </c>
      <c r="E335" s="84"/>
      <c r="F335" s="122" t="str">
        <f t="shared" si="28"/>
        <v/>
      </c>
      <c r="G335" s="117"/>
      <c r="H335" s="117"/>
      <c r="I335" s="117"/>
      <c r="J335" s="84"/>
      <c r="L335" s="75" t="str">
        <f t="shared" si="29"/>
        <v/>
      </c>
      <c r="M335" s="75" t="str">
        <f t="shared" si="30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6"/>
        <v/>
      </c>
      <c r="D336" s="72" t="str">
        <f t="shared" si="27"/>
        <v/>
      </c>
      <c r="E336" s="84"/>
      <c r="F336" s="122" t="str">
        <f t="shared" si="28"/>
        <v/>
      </c>
      <c r="G336" s="117"/>
      <c r="H336" s="117"/>
      <c r="I336" s="117"/>
      <c r="J336" s="84"/>
      <c r="L336" s="75" t="str">
        <f t="shared" si="29"/>
        <v/>
      </c>
      <c r="M336" s="75" t="str">
        <f t="shared" si="30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6"/>
        <v/>
      </c>
      <c r="D337" s="72" t="str">
        <f t="shared" si="27"/>
        <v/>
      </c>
      <c r="E337" s="84"/>
      <c r="F337" s="122" t="str">
        <f t="shared" si="28"/>
        <v/>
      </c>
      <c r="G337" s="117"/>
      <c r="H337" s="117"/>
      <c r="I337" s="117"/>
      <c r="J337" s="84"/>
      <c r="L337" s="75" t="str">
        <f t="shared" si="29"/>
        <v/>
      </c>
      <c r="M337" s="75" t="str">
        <f t="shared" si="30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6"/>
        <v/>
      </c>
      <c r="D338" s="72" t="str">
        <f t="shared" si="27"/>
        <v/>
      </c>
      <c r="E338" s="84"/>
      <c r="F338" s="122" t="str">
        <f t="shared" si="28"/>
        <v/>
      </c>
      <c r="G338" s="117"/>
      <c r="H338" s="117"/>
      <c r="I338" s="117"/>
      <c r="J338" s="84"/>
      <c r="L338" s="75" t="str">
        <f t="shared" si="29"/>
        <v/>
      </c>
      <c r="M338" s="75" t="str">
        <f t="shared" si="30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6"/>
        <v/>
      </c>
      <c r="D339" s="72" t="str">
        <f t="shared" si="27"/>
        <v/>
      </c>
      <c r="E339" s="84"/>
      <c r="F339" s="122" t="str">
        <f t="shared" si="28"/>
        <v/>
      </c>
      <c r="G339" s="117"/>
      <c r="H339" s="117"/>
      <c r="I339" s="117"/>
      <c r="J339" s="84"/>
      <c r="L339" s="75" t="str">
        <f t="shared" si="29"/>
        <v/>
      </c>
      <c r="M339" s="75" t="str">
        <f t="shared" si="30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6"/>
        <v/>
      </c>
      <c r="D340" s="72" t="str">
        <f t="shared" si="27"/>
        <v/>
      </c>
      <c r="E340" s="84"/>
      <c r="F340" s="122" t="str">
        <f t="shared" si="28"/>
        <v/>
      </c>
      <c r="G340" s="117"/>
      <c r="H340" s="117"/>
      <c r="I340" s="117"/>
      <c r="J340" s="84"/>
      <c r="L340" s="75" t="str">
        <f t="shared" si="29"/>
        <v/>
      </c>
      <c r="M340" s="75" t="str">
        <f t="shared" si="30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6"/>
        <v/>
      </c>
      <c r="D341" s="72" t="str">
        <f t="shared" si="27"/>
        <v/>
      </c>
      <c r="E341" s="84"/>
      <c r="F341" s="122" t="str">
        <f t="shared" si="28"/>
        <v/>
      </c>
      <c r="G341" s="117"/>
      <c r="H341" s="117"/>
      <c r="I341" s="117"/>
      <c r="J341" s="84"/>
      <c r="L341" s="75" t="str">
        <f t="shared" si="29"/>
        <v/>
      </c>
      <c r="M341" s="75" t="str">
        <f t="shared" si="30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6"/>
        <v/>
      </c>
      <c r="D342" s="72" t="str">
        <f t="shared" si="27"/>
        <v/>
      </c>
      <c r="E342" s="84"/>
      <c r="F342" s="122" t="str">
        <f t="shared" si="28"/>
        <v/>
      </c>
      <c r="G342" s="117"/>
      <c r="H342" s="117"/>
      <c r="I342" s="117"/>
      <c r="J342" s="84"/>
      <c r="L342" s="75" t="str">
        <f t="shared" si="29"/>
        <v/>
      </c>
      <c r="M342" s="75" t="str">
        <f t="shared" si="30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6"/>
        <v/>
      </c>
      <c r="D343" s="72" t="str">
        <f t="shared" si="27"/>
        <v/>
      </c>
      <c r="E343" s="84"/>
      <c r="F343" s="122" t="str">
        <f t="shared" si="28"/>
        <v/>
      </c>
      <c r="G343" s="117"/>
      <c r="H343" s="117"/>
      <c r="I343" s="117"/>
      <c r="J343" s="84"/>
      <c r="L343" s="75" t="str">
        <f t="shared" si="29"/>
        <v/>
      </c>
      <c r="M343" s="75" t="str">
        <f t="shared" si="30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6"/>
        <v/>
      </c>
      <c r="D344" s="72" t="str">
        <f t="shared" si="27"/>
        <v/>
      </c>
      <c r="E344" s="84"/>
      <c r="F344" s="122" t="str">
        <f t="shared" si="28"/>
        <v/>
      </c>
      <c r="G344" s="117"/>
      <c r="H344" s="117"/>
      <c r="I344" s="117"/>
      <c r="J344" s="84"/>
      <c r="L344" s="75" t="str">
        <f t="shared" si="29"/>
        <v/>
      </c>
      <c r="M344" s="75" t="str">
        <f t="shared" si="30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6"/>
        <v/>
      </c>
      <c r="D345" s="72" t="str">
        <f t="shared" si="27"/>
        <v/>
      </c>
      <c r="E345" s="84"/>
      <c r="F345" s="122" t="str">
        <f t="shared" si="28"/>
        <v/>
      </c>
      <c r="G345" s="117"/>
      <c r="H345" s="117"/>
      <c r="I345" s="117"/>
      <c r="J345" s="84"/>
      <c r="L345" s="75" t="str">
        <f t="shared" si="29"/>
        <v/>
      </c>
      <c r="M345" s="75" t="str">
        <f t="shared" si="30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6"/>
        <v/>
      </c>
      <c r="D346" s="72" t="str">
        <f t="shared" si="27"/>
        <v/>
      </c>
      <c r="E346" s="84"/>
      <c r="F346" s="122" t="str">
        <f t="shared" si="28"/>
        <v/>
      </c>
      <c r="G346" s="117"/>
      <c r="H346" s="117"/>
      <c r="I346" s="117"/>
      <c r="J346" s="84"/>
      <c r="L346" s="75" t="str">
        <f t="shared" si="29"/>
        <v/>
      </c>
      <c r="M346" s="75" t="str">
        <f t="shared" si="30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6"/>
        <v/>
      </c>
      <c r="D347" s="72" t="str">
        <f t="shared" si="27"/>
        <v/>
      </c>
      <c r="E347" s="84"/>
      <c r="F347" s="122" t="str">
        <f t="shared" si="28"/>
        <v/>
      </c>
      <c r="G347" s="117"/>
      <c r="H347" s="117"/>
      <c r="I347" s="117"/>
      <c r="J347" s="84"/>
      <c r="L347" s="75" t="str">
        <f t="shared" si="29"/>
        <v/>
      </c>
      <c r="M347" s="75" t="str">
        <f t="shared" si="30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6"/>
        <v/>
      </c>
      <c r="D348" s="72" t="str">
        <f t="shared" si="27"/>
        <v/>
      </c>
      <c r="E348" s="84"/>
      <c r="F348" s="122" t="str">
        <f t="shared" si="28"/>
        <v/>
      </c>
      <c r="G348" s="117"/>
      <c r="H348" s="117"/>
      <c r="I348" s="117"/>
      <c r="J348" s="84"/>
      <c r="L348" s="75" t="str">
        <f t="shared" si="29"/>
        <v/>
      </c>
      <c r="M348" s="75" t="str">
        <f t="shared" si="30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6"/>
        <v/>
      </c>
      <c r="D349" s="72" t="str">
        <f t="shared" si="27"/>
        <v/>
      </c>
      <c r="E349" s="84"/>
      <c r="F349" s="122" t="str">
        <f t="shared" si="28"/>
        <v/>
      </c>
      <c r="G349" s="117"/>
      <c r="H349" s="117"/>
      <c r="I349" s="117"/>
      <c r="J349" s="84"/>
      <c r="L349" s="75" t="str">
        <f t="shared" si="29"/>
        <v/>
      </c>
      <c r="M349" s="75" t="str">
        <f t="shared" si="30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6"/>
        <v/>
      </c>
      <c r="D350" s="72" t="str">
        <f t="shared" si="27"/>
        <v/>
      </c>
      <c r="E350" s="84"/>
      <c r="F350" s="122" t="str">
        <f t="shared" si="28"/>
        <v/>
      </c>
      <c r="G350" s="117"/>
      <c r="H350" s="117"/>
      <c r="I350" s="117"/>
      <c r="J350" s="84"/>
      <c r="L350" s="75" t="str">
        <f t="shared" si="29"/>
        <v/>
      </c>
      <c r="M350" s="75" t="str">
        <f t="shared" si="30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6"/>
        <v/>
      </c>
      <c r="D351" s="72" t="str">
        <f t="shared" si="27"/>
        <v/>
      </c>
      <c r="E351" s="84"/>
      <c r="F351" s="122" t="str">
        <f t="shared" si="28"/>
        <v/>
      </c>
      <c r="G351" s="117"/>
      <c r="H351" s="117"/>
      <c r="I351" s="117"/>
      <c r="J351" s="84"/>
      <c r="L351" s="75" t="str">
        <f t="shared" si="29"/>
        <v/>
      </c>
      <c r="M351" s="75" t="str">
        <f t="shared" si="30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6"/>
        <v/>
      </c>
      <c r="D352" s="72" t="str">
        <f t="shared" si="27"/>
        <v/>
      </c>
      <c r="E352" s="84"/>
      <c r="F352" s="122" t="str">
        <f t="shared" si="28"/>
        <v/>
      </c>
      <c r="G352" s="117"/>
      <c r="H352" s="117"/>
      <c r="I352" s="117"/>
      <c r="J352" s="84"/>
      <c r="L352" s="75" t="str">
        <f t="shared" si="29"/>
        <v/>
      </c>
      <c r="M352" s="75" t="str">
        <f t="shared" si="30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6"/>
        <v/>
      </c>
      <c r="D353" s="72" t="str">
        <f t="shared" si="27"/>
        <v/>
      </c>
      <c r="E353" s="84"/>
      <c r="F353" s="122" t="str">
        <f t="shared" si="28"/>
        <v/>
      </c>
      <c r="G353" s="117"/>
      <c r="H353" s="117"/>
      <c r="I353" s="117"/>
      <c r="J353" s="84"/>
      <c r="L353" s="75" t="str">
        <f t="shared" si="29"/>
        <v/>
      </c>
      <c r="M353" s="75" t="str">
        <f t="shared" si="30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6"/>
        <v/>
      </c>
      <c r="D354" s="72" t="str">
        <f t="shared" si="27"/>
        <v/>
      </c>
      <c r="E354" s="84"/>
      <c r="F354" s="122" t="str">
        <f t="shared" si="28"/>
        <v/>
      </c>
      <c r="G354" s="117"/>
      <c r="H354" s="117"/>
      <c r="I354" s="117"/>
      <c r="J354" s="84"/>
      <c r="L354" s="75" t="str">
        <f t="shared" si="29"/>
        <v/>
      </c>
      <c r="M354" s="75" t="str">
        <f t="shared" si="30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6"/>
        <v/>
      </c>
      <c r="D355" s="72" t="str">
        <f t="shared" si="27"/>
        <v/>
      </c>
      <c r="E355" s="84"/>
      <c r="F355" s="122" t="str">
        <f t="shared" si="28"/>
        <v/>
      </c>
      <c r="G355" s="117"/>
      <c r="H355" s="117"/>
      <c r="I355" s="117"/>
      <c r="J355" s="84"/>
      <c r="L355" s="75" t="str">
        <f t="shared" si="29"/>
        <v/>
      </c>
      <c r="M355" s="75" t="str">
        <f t="shared" si="30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6"/>
        <v/>
      </c>
      <c r="D356" s="72" t="str">
        <f t="shared" si="27"/>
        <v/>
      </c>
      <c r="E356" s="84"/>
      <c r="F356" s="122" t="str">
        <f t="shared" si="28"/>
        <v/>
      </c>
      <c r="G356" s="117"/>
      <c r="H356" s="117"/>
      <c r="I356" s="117"/>
      <c r="J356" s="84"/>
      <c r="L356" s="75" t="str">
        <f t="shared" si="29"/>
        <v/>
      </c>
      <c r="M356" s="75" t="str">
        <f t="shared" si="30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6"/>
        <v/>
      </c>
      <c r="D357" s="72" t="str">
        <f t="shared" si="27"/>
        <v/>
      </c>
      <c r="E357" s="84"/>
      <c r="F357" s="122" t="str">
        <f t="shared" si="28"/>
        <v/>
      </c>
      <c r="G357" s="117"/>
      <c r="H357" s="117"/>
      <c r="I357" s="117"/>
      <c r="J357" s="84"/>
      <c r="L357" s="75" t="str">
        <f t="shared" si="29"/>
        <v/>
      </c>
      <c r="M357" s="75" t="str">
        <f t="shared" si="30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6"/>
        <v/>
      </c>
      <c r="D358" s="72" t="str">
        <f t="shared" si="27"/>
        <v/>
      </c>
      <c r="E358" s="84"/>
      <c r="F358" s="122" t="str">
        <f t="shared" si="28"/>
        <v/>
      </c>
      <c r="G358" s="117"/>
      <c r="H358" s="117"/>
      <c r="I358" s="117"/>
      <c r="J358" s="84"/>
      <c r="L358" s="75" t="str">
        <f t="shared" si="29"/>
        <v/>
      </c>
      <c r="M358" s="75" t="str">
        <f t="shared" si="30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6"/>
        <v/>
      </c>
      <c r="D359" s="72" t="str">
        <f t="shared" si="27"/>
        <v/>
      </c>
      <c r="E359" s="84"/>
      <c r="F359" s="122" t="str">
        <f t="shared" si="28"/>
        <v/>
      </c>
      <c r="G359" s="117"/>
      <c r="H359" s="117"/>
      <c r="I359" s="117"/>
      <c r="J359" s="84"/>
      <c r="L359" s="75" t="str">
        <f t="shared" si="29"/>
        <v/>
      </c>
      <c r="M359" s="75" t="str">
        <f t="shared" si="30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6"/>
        <v/>
      </c>
      <c r="D360" s="72" t="str">
        <f t="shared" si="27"/>
        <v/>
      </c>
      <c r="E360" s="84"/>
      <c r="F360" s="122" t="str">
        <f t="shared" si="28"/>
        <v/>
      </c>
      <c r="G360" s="117"/>
      <c r="H360" s="117"/>
      <c r="I360" s="117"/>
      <c r="J360" s="84"/>
      <c r="L360" s="75" t="str">
        <f t="shared" si="29"/>
        <v/>
      </c>
      <c r="M360" s="75" t="str">
        <f t="shared" si="30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6"/>
        <v/>
      </c>
      <c r="D361" s="72" t="str">
        <f t="shared" si="27"/>
        <v/>
      </c>
      <c r="E361" s="84"/>
      <c r="F361" s="122" t="str">
        <f t="shared" si="28"/>
        <v/>
      </c>
      <c r="G361" s="117"/>
      <c r="H361" s="117"/>
      <c r="I361" s="117"/>
      <c r="J361" s="84"/>
      <c r="L361" s="75" t="str">
        <f t="shared" si="29"/>
        <v/>
      </c>
      <c r="M361" s="75" t="str">
        <f t="shared" si="30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6"/>
        <v/>
      </c>
      <c r="D362" s="72" t="str">
        <f t="shared" si="27"/>
        <v/>
      </c>
      <c r="E362" s="84"/>
      <c r="F362" s="122" t="str">
        <f t="shared" si="28"/>
        <v/>
      </c>
      <c r="G362" s="117"/>
      <c r="H362" s="117"/>
      <c r="I362" s="117"/>
      <c r="J362" s="84"/>
      <c r="L362" s="75" t="str">
        <f t="shared" si="29"/>
        <v/>
      </c>
      <c r="M362" s="75" t="str">
        <f t="shared" si="30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6"/>
        <v/>
      </c>
      <c r="D363" s="72" t="str">
        <f t="shared" si="27"/>
        <v/>
      </c>
      <c r="E363" s="84"/>
      <c r="F363" s="122" t="str">
        <f t="shared" si="28"/>
        <v/>
      </c>
      <c r="G363" s="117"/>
      <c r="H363" s="117"/>
      <c r="I363" s="117"/>
      <c r="J363" s="84"/>
      <c r="L363" s="75" t="str">
        <f t="shared" si="29"/>
        <v/>
      </c>
      <c r="M363" s="75" t="str">
        <f t="shared" si="30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6"/>
        <v/>
      </c>
      <c r="D364" s="72" t="str">
        <f t="shared" si="27"/>
        <v/>
      </c>
      <c r="E364" s="84"/>
      <c r="F364" s="122" t="str">
        <f t="shared" si="28"/>
        <v/>
      </c>
      <c r="G364" s="117"/>
      <c r="H364" s="117"/>
      <c r="I364" s="117"/>
      <c r="J364" s="84"/>
      <c r="L364" s="75" t="str">
        <f t="shared" si="29"/>
        <v/>
      </c>
      <c r="M364" s="75" t="str">
        <f t="shared" si="30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6"/>
        <v/>
      </c>
      <c r="D365" s="72" t="str">
        <f t="shared" si="27"/>
        <v/>
      </c>
      <c r="E365" s="84"/>
      <c r="F365" s="122" t="str">
        <f t="shared" si="28"/>
        <v/>
      </c>
      <c r="G365" s="117"/>
      <c r="H365" s="117"/>
      <c r="I365" s="117"/>
      <c r="J365" s="84"/>
      <c r="L365" s="75" t="str">
        <f t="shared" si="29"/>
        <v/>
      </c>
      <c r="M365" s="75" t="str">
        <f t="shared" si="30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6"/>
        <v/>
      </c>
      <c r="D366" s="72" t="str">
        <f t="shared" si="27"/>
        <v/>
      </c>
      <c r="E366" s="84"/>
      <c r="F366" s="122" t="str">
        <f t="shared" si="28"/>
        <v/>
      </c>
      <c r="G366" s="117"/>
      <c r="H366" s="117"/>
      <c r="I366" s="117"/>
      <c r="J366" s="84"/>
      <c r="L366" s="75" t="str">
        <f t="shared" si="29"/>
        <v/>
      </c>
      <c r="M366" s="75" t="str">
        <f t="shared" si="30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6"/>
        <v/>
      </c>
      <c r="D367" s="72" t="str">
        <f t="shared" si="27"/>
        <v/>
      </c>
      <c r="E367" s="84"/>
      <c r="F367" s="122" t="str">
        <f t="shared" si="28"/>
        <v/>
      </c>
      <c r="G367" s="117"/>
      <c r="H367" s="117"/>
      <c r="I367" s="117"/>
      <c r="J367" s="84"/>
      <c r="L367" s="75" t="str">
        <f t="shared" si="29"/>
        <v/>
      </c>
      <c r="M367" s="75" t="str">
        <f t="shared" si="30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6"/>
        <v/>
      </c>
      <c r="D368" s="72" t="str">
        <f t="shared" si="27"/>
        <v/>
      </c>
      <c r="E368" s="84"/>
      <c r="F368" s="122" t="str">
        <f t="shared" si="28"/>
        <v/>
      </c>
      <c r="G368" s="117"/>
      <c r="H368" s="117"/>
      <c r="I368" s="117"/>
      <c r="J368" s="84"/>
      <c r="L368" s="75" t="str">
        <f t="shared" si="29"/>
        <v/>
      </c>
      <c r="M368" s="75" t="str">
        <f t="shared" si="30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6"/>
        <v/>
      </c>
      <c r="D369" s="72" t="str">
        <f t="shared" si="27"/>
        <v/>
      </c>
      <c r="E369" s="84"/>
      <c r="F369" s="122" t="str">
        <f t="shared" si="28"/>
        <v/>
      </c>
      <c r="G369" s="117"/>
      <c r="H369" s="117"/>
      <c r="I369" s="117"/>
      <c r="J369" s="84"/>
      <c r="L369" s="75" t="str">
        <f t="shared" si="29"/>
        <v/>
      </c>
      <c r="M369" s="75" t="str">
        <f t="shared" si="30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6"/>
        <v/>
      </c>
      <c r="D370" s="72" t="str">
        <f t="shared" si="27"/>
        <v/>
      </c>
      <c r="E370" s="84"/>
      <c r="F370" s="122" t="str">
        <f t="shared" si="28"/>
        <v/>
      </c>
      <c r="G370" s="117"/>
      <c r="H370" s="117"/>
      <c r="I370" s="117"/>
      <c r="J370" s="84"/>
      <c r="L370" s="75" t="str">
        <f t="shared" si="29"/>
        <v/>
      </c>
      <c r="M370" s="75" t="str">
        <f t="shared" si="30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6"/>
        <v/>
      </c>
      <c r="D371" s="72" t="str">
        <f t="shared" si="27"/>
        <v/>
      </c>
      <c r="E371" s="84"/>
      <c r="F371" s="122" t="str">
        <f t="shared" si="28"/>
        <v/>
      </c>
      <c r="G371" s="117"/>
      <c r="H371" s="117"/>
      <c r="I371" s="117"/>
      <c r="J371" s="84"/>
      <c r="L371" s="75" t="str">
        <f t="shared" si="29"/>
        <v/>
      </c>
      <c r="M371" s="75" t="str">
        <f t="shared" si="30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6"/>
        <v/>
      </c>
      <c r="D372" s="72" t="str">
        <f t="shared" si="27"/>
        <v/>
      </c>
      <c r="E372" s="84"/>
      <c r="F372" s="122" t="str">
        <f t="shared" si="28"/>
        <v/>
      </c>
      <c r="G372" s="117"/>
      <c r="H372" s="117"/>
      <c r="I372" s="117"/>
      <c r="J372" s="84"/>
      <c r="L372" s="75" t="str">
        <f t="shared" si="29"/>
        <v/>
      </c>
      <c r="M372" s="75" t="str">
        <f t="shared" si="30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6"/>
        <v/>
      </c>
      <c r="D373" s="72" t="str">
        <f t="shared" si="27"/>
        <v/>
      </c>
      <c r="E373" s="84"/>
      <c r="F373" s="122" t="str">
        <f t="shared" si="28"/>
        <v/>
      </c>
      <c r="G373" s="117"/>
      <c r="H373" s="117"/>
      <c r="I373" s="117"/>
      <c r="J373" s="84"/>
      <c r="L373" s="75" t="str">
        <f t="shared" si="29"/>
        <v/>
      </c>
      <c r="M373" s="75" t="str">
        <f t="shared" si="30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6"/>
        <v/>
      </c>
      <c r="D374" s="72" t="str">
        <f t="shared" si="27"/>
        <v/>
      </c>
      <c r="E374" s="84"/>
      <c r="F374" s="122" t="str">
        <f t="shared" si="28"/>
        <v/>
      </c>
      <c r="G374" s="117"/>
      <c r="H374" s="117"/>
      <c r="I374" s="117"/>
      <c r="J374" s="84"/>
      <c r="L374" s="75" t="str">
        <f t="shared" si="29"/>
        <v/>
      </c>
      <c r="M374" s="75" t="str">
        <f t="shared" si="30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6"/>
        <v/>
      </c>
      <c r="D375" s="72" t="str">
        <f t="shared" si="27"/>
        <v/>
      </c>
      <c r="E375" s="84"/>
      <c r="F375" s="122" t="str">
        <f t="shared" si="28"/>
        <v/>
      </c>
      <c r="G375" s="117"/>
      <c r="H375" s="117"/>
      <c r="I375" s="117"/>
      <c r="J375" s="84"/>
      <c r="L375" s="75" t="str">
        <f t="shared" si="29"/>
        <v/>
      </c>
      <c r="M375" s="75" t="str">
        <f t="shared" si="30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6"/>
        <v/>
      </c>
      <c r="D376" s="72" t="str">
        <f t="shared" si="27"/>
        <v/>
      </c>
      <c r="E376" s="84"/>
      <c r="F376" s="122" t="str">
        <f t="shared" si="28"/>
        <v/>
      </c>
      <c r="G376" s="117"/>
      <c r="H376" s="117"/>
      <c r="I376" s="117"/>
      <c r="J376" s="84"/>
      <c r="L376" s="75" t="str">
        <f t="shared" si="29"/>
        <v/>
      </c>
      <c r="M376" s="75" t="str">
        <f t="shared" si="30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6"/>
        <v/>
      </c>
      <c r="D377" s="72" t="str">
        <f t="shared" si="27"/>
        <v/>
      </c>
      <c r="E377" s="84"/>
      <c r="F377" s="122" t="str">
        <f t="shared" si="28"/>
        <v/>
      </c>
      <c r="G377" s="117"/>
      <c r="H377" s="117"/>
      <c r="I377" s="117"/>
      <c r="J377" s="84"/>
      <c r="L377" s="75" t="str">
        <f t="shared" si="29"/>
        <v/>
      </c>
      <c r="M377" s="75" t="str">
        <f t="shared" si="30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6"/>
        <v/>
      </c>
      <c r="D378" s="72" t="str">
        <f t="shared" si="27"/>
        <v/>
      </c>
      <c r="E378" s="84"/>
      <c r="F378" s="122" t="str">
        <f t="shared" si="28"/>
        <v/>
      </c>
      <c r="G378" s="117"/>
      <c r="H378" s="117"/>
      <c r="I378" s="117"/>
      <c r="J378" s="84"/>
      <c r="L378" s="75" t="str">
        <f t="shared" si="29"/>
        <v/>
      </c>
      <c r="M378" s="75" t="str">
        <f t="shared" si="30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6"/>
        <v/>
      </c>
      <c r="D379" s="72" t="str">
        <f t="shared" si="27"/>
        <v/>
      </c>
      <c r="E379" s="84"/>
      <c r="F379" s="122" t="str">
        <f t="shared" si="28"/>
        <v/>
      </c>
      <c r="G379" s="117"/>
      <c r="H379" s="117"/>
      <c r="I379" s="117"/>
      <c r="J379" s="84"/>
      <c r="L379" s="75" t="str">
        <f t="shared" si="29"/>
        <v/>
      </c>
      <c r="M379" s="75" t="str">
        <f t="shared" si="30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6"/>
        <v/>
      </c>
      <c r="D380" s="72" t="str">
        <f t="shared" si="27"/>
        <v/>
      </c>
      <c r="E380" s="84"/>
      <c r="F380" s="122" t="str">
        <f t="shared" si="28"/>
        <v/>
      </c>
      <c r="G380" s="117"/>
      <c r="H380" s="117"/>
      <c r="I380" s="117"/>
      <c r="J380" s="84"/>
      <c r="L380" s="75" t="str">
        <f t="shared" si="29"/>
        <v/>
      </c>
      <c r="M380" s="75" t="str">
        <f t="shared" si="30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6"/>
        <v/>
      </c>
      <c r="D381" s="72" t="str">
        <f t="shared" si="27"/>
        <v/>
      </c>
      <c r="E381" s="84"/>
      <c r="F381" s="122" t="str">
        <f t="shared" si="28"/>
        <v/>
      </c>
      <c r="G381" s="117"/>
      <c r="H381" s="117"/>
      <c r="I381" s="117"/>
      <c r="J381" s="84"/>
      <c r="L381" s="75" t="str">
        <f t="shared" si="29"/>
        <v/>
      </c>
      <c r="M381" s="75" t="str">
        <f t="shared" si="30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6"/>
        <v/>
      </c>
      <c r="D382" s="72" t="str">
        <f t="shared" si="27"/>
        <v/>
      </c>
      <c r="E382" s="84"/>
      <c r="F382" s="122" t="str">
        <f t="shared" si="28"/>
        <v/>
      </c>
      <c r="G382" s="117"/>
      <c r="H382" s="117"/>
      <c r="I382" s="117"/>
      <c r="J382" s="84"/>
      <c r="L382" s="75" t="str">
        <f t="shared" si="29"/>
        <v/>
      </c>
      <c r="M382" s="75" t="str">
        <f t="shared" si="30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6"/>
        <v/>
      </c>
      <c r="D383" s="72" t="str">
        <f t="shared" si="27"/>
        <v/>
      </c>
      <c r="E383" s="84"/>
      <c r="F383" s="122" t="str">
        <f t="shared" si="28"/>
        <v/>
      </c>
      <c r="G383" s="117"/>
      <c r="H383" s="117"/>
      <c r="I383" s="117"/>
      <c r="J383" s="84"/>
      <c r="L383" s="75" t="str">
        <f t="shared" si="29"/>
        <v/>
      </c>
      <c r="M383" s="75" t="str">
        <f t="shared" si="30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6"/>
        <v/>
      </c>
      <c r="D384" s="72" t="str">
        <f t="shared" si="27"/>
        <v/>
      </c>
      <c r="E384" s="84"/>
      <c r="F384" s="122" t="str">
        <f t="shared" si="28"/>
        <v/>
      </c>
      <c r="G384" s="117"/>
      <c r="H384" s="117"/>
      <c r="I384" s="117"/>
      <c r="J384" s="84"/>
      <c r="L384" s="75" t="str">
        <f t="shared" si="29"/>
        <v/>
      </c>
      <c r="M384" s="75" t="str">
        <f t="shared" si="30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6"/>
        <v/>
      </c>
      <c r="D385" s="72" t="str">
        <f t="shared" si="27"/>
        <v/>
      </c>
      <c r="E385" s="84"/>
      <c r="F385" s="122" t="str">
        <f t="shared" si="28"/>
        <v/>
      </c>
      <c r="G385" s="117"/>
      <c r="H385" s="117"/>
      <c r="I385" s="117"/>
      <c r="J385" s="84"/>
      <c r="L385" s="75" t="str">
        <f t="shared" si="29"/>
        <v/>
      </c>
      <c r="M385" s="75" t="str">
        <f t="shared" si="30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6"/>
        <v/>
      </c>
      <c r="D386" s="72" t="str">
        <f t="shared" si="27"/>
        <v/>
      </c>
      <c r="E386" s="84"/>
      <c r="F386" s="122" t="str">
        <f t="shared" si="28"/>
        <v/>
      </c>
      <c r="G386" s="117"/>
      <c r="H386" s="117"/>
      <c r="I386" s="117"/>
      <c r="J386" s="84"/>
      <c r="L386" s="75" t="str">
        <f t="shared" si="29"/>
        <v/>
      </c>
      <c r="M386" s="75" t="str">
        <f t="shared" si="30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26"/>
        <v/>
      </c>
      <c r="D387" s="72" t="str">
        <f t="shared" si="27"/>
        <v/>
      </c>
      <c r="E387" s="84"/>
      <c r="F387" s="122" t="str">
        <f t="shared" si="28"/>
        <v/>
      </c>
      <c r="G387" s="117"/>
      <c r="H387" s="117"/>
      <c r="I387" s="117"/>
      <c r="J387" s="84"/>
      <c r="L387" s="75" t="str">
        <f t="shared" si="29"/>
        <v/>
      </c>
      <c r="M387" s="75" t="str">
        <f t="shared" si="30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ref="C388:C451" si="31">IFERROR(VLOOKUP(E388,$R$6:$U$114,3,FALSE),"")</f>
        <v/>
      </c>
      <c r="D388" s="72" t="str">
        <f t="shared" ref="D388:D451" si="32">IFERROR(VLOOKUP(E388,$R$6:$U$114,4,FALSE),"")</f>
        <v/>
      </c>
      <c r="E388" s="84"/>
      <c r="F388" s="122" t="str">
        <f t="shared" ref="F388:F451" si="33">IFERROR(VLOOKUP(E388,$R$6:$U$114,2,FALSE),"")</f>
        <v/>
      </c>
      <c r="G388" s="117"/>
      <c r="H388" s="117"/>
      <c r="I388" s="117"/>
      <c r="J388" s="84"/>
      <c r="L388" s="75" t="str">
        <f t="shared" si="29"/>
        <v/>
      </c>
      <c r="M388" s="75" t="str">
        <f t="shared" si="30"/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1"/>
        <v/>
      </c>
      <c r="D389" s="72" t="str">
        <f t="shared" si="32"/>
        <v/>
      </c>
      <c r="E389" s="84"/>
      <c r="F389" s="122" t="str">
        <f t="shared" si="33"/>
        <v/>
      </c>
      <c r="G389" s="117"/>
      <c r="H389" s="117"/>
      <c r="I389" s="117"/>
      <c r="J389" s="84"/>
      <c r="L389" s="75" t="str">
        <f t="shared" ref="L389:L452" si="34">LEFT(E389,2)</f>
        <v/>
      </c>
      <c r="M389" s="75" t="str">
        <f t="shared" ref="M389:M452" si="35">LEFT(E389,3)</f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1"/>
        <v/>
      </c>
      <c r="D390" s="72" t="str">
        <f t="shared" si="32"/>
        <v/>
      </c>
      <c r="E390" s="84"/>
      <c r="F390" s="122" t="str">
        <f t="shared" si="33"/>
        <v/>
      </c>
      <c r="G390" s="117"/>
      <c r="H390" s="117"/>
      <c r="I390" s="117"/>
      <c r="J390" s="84"/>
      <c r="L390" s="75" t="str">
        <f t="shared" si="34"/>
        <v/>
      </c>
      <c r="M390" s="75" t="str">
        <f t="shared" si="35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1"/>
        <v/>
      </c>
      <c r="D391" s="72" t="str">
        <f t="shared" si="32"/>
        <v/>
      </c>
      <c r="E391" s="84"/>
      <c r="F391" s="122" t="str">
        <f t="shared" si="33"/>
        <v/>
      </c>
      <c r="G391" s="117"/>
      <c r="H391" s="117"/>
      <c r="I391" s="117"/>
      <c r="J391" s="84"/>
      <c r="L391" s="75" t="str">
        <f t="shared" si="34"/>
        <v/>
      </c>
      <c r="M391" s="75" t="str">
        <f t="shared" si="35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1"/>
        <v/>
      </c>
      <c r="D392" s="72" t="str">
        <f t="shared" si="32"/>
        <v/>
      </c>
      <c r="E392" s="84"/>
      <c r="F392" s="122" t="str">
        <f t="shared" si="33"/>
        <v/>
      </c>
      <c r="G392" s="117"/>
      <c r="H392" s="117"/>
      <c r="I392" s="117"/>
      <c r="J392" s="84"/>
      <c r="L392" s="75" t="str">
        <f t="shared" si="34"/>
        <v/>
      </c>
      <c r="M392" s="75" t="str">
        <f t="shared" si="35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1"/>
        <v/>
      </c>
      <c r="D393" s="72" t="str">
        <f t="shared" si="32"/>
        <v/>
      </c>
      <c r="E393" s="84"/>
      <c r="F393" s="122" t="str">
        <f t="shared" si="33"/>
        <v/>
      </c>
      <c r="G393" s="117"/>
      <c r="H393" s="117"/>
      <c r="I393" s="117"/>
      <c r="J393" s="84"/>
      <c r="L393" s="75" t="str">
        <f t="shared" si="34"/>
        <v/>
      </c>
      <c r="M393" s="75" t="str">
        <f t="shared" si="35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1"/>
        <v/>
      </c>
      <c r="D394" s="72" t="str">
        <f t="shared" si="32"/>
        <v/>
      </c>
      <c r="E394" s="84"/>
      <c r="F394" s="122" t="str">
        <f t="shared" si="33"/>
        <v/>
      </c>
      <c r="G394" s="117"/>
      <c r="H394" s="117"/>
      <c r="I394" s="117"/>
      <c r="J394" s="84"/>
      <c r="L394" s="75" t="str">
        <f t="shared" si="34"/>
        <v/>
      </c>
      <c r="M394" s="75" t="str">
        <f t="shared" si="35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1"/>
        <v/>
      </c>
      <c r="D395" s="72" t="str">
        <f t="shared" si="32"/>
        <v/>
      </c>
      <c r="E395" s="84"/>
      <c r="F395" s="122" t="str">
        <f t="shared" si="33"/>
        <v/>
      </c>
      <c r="G395" s="117"/>
      <c r="H395" s="117"/>
      <c r="I395" s="117"/>
      <c r="J395" s="84"/>
      <c r="L395" s="75" t="str">
        <f t="shared" si="34"/>
        <v/>
      </c>
      <c r="M395" s="75" t="str">
        <f t="shared" si="35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1"/>
        <v/>
      </c>
      <c r="D396" s="72" t="str">
        <f t="shared" si="32"/>
        <v/>
      </c>
      <c r="E396" s="84"/>
      <c r="F396" s="122" t="str">
        <f t="shared" si="33"/>
        <v/>
      </c>
      <c r="G396" s="117"/>
      <c r="H396" s="117"/>
      <c r="I396" s="117"/>
      <c r="J396" s="84"/>
      <c r="L396" s="75" t="str">
        <f t="shared" si="34"/>
        <v/>
      </c>
      <c r="M396" s="75" t="str">
        <f t="shared" si="35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1"/>
        <v/>
      </c>
      <c r="D397" s="72" t="str">
        <f t="shared" si="32"/>
        <v/>
      </c>
      <c r="E397" s="84"/>
      <c r="F397" s="122" t="str">
        <f t="shared" si="33"/>
        <v/>
      </c>
      <c r="G397" s="117"/>
      <c r="H397" s="117"/>
      <c r="I397" s="117"/>
      <c r="J397" s="84"/>
      <c r="L397" s="75" t="str">
        <f t="shared" si="34"/>
        <v/>
      </c>
      <c r="M397" s="75" t="str">
        <f t="shared" si="35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1"/>
        <v/>
      </c>
      <c r="D398" s="72" t="str">
        <f t="shared" si="32"/>
        <v/>
      </c>
      <c r="E398" s="84"/>
      <c r="F398" s="122" t="str">
        <f t="shared" si="33"/>
        <v/>
      </c>
      <c r="G398" s="117"/>
      <c r="H398" s="117"/>
      <c r="I398" s="117"/>
      <c r="J398" s="84"/>
      <c r="L398" s="75" t="str">
        <f t="shared" si="34"/>
        <v/>
      </c>
      <c r="M398" s="75" t="str">
        <f t="shared" si="35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1"/>
        <v/>
      </c>
      <c r="D399" s="72" t="str">
        <f t="shared" si="32"/>
        <v/>
      </c>
      <c r="E399" s="84"/>
      <c r="F399" s="122" t="str">
        <f t="shared" si="33"/>
        <v/>
      </c>
      <c r="G399" s="117"/>
      <c r="H399" s="117"/>
      <c r="I399" s="117"/>
      <c r="J399" s="84"/>
      <c r="L399" s="75" t="str">
        <f t="shared" si="34"/>
        <v/>
      </c>
      <c r="M399" s="75" t="str">
        <f t="shared" si="35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1"/>
        <v/>
      </c>
      <c r="D400" s="72" t="str">
        <f t="shared" si="32"/>
        <v/>
      </c>
      <c r="E400" s="84"/>
      <c r="F400" s="122" t="str">
        <f t="shared" si="33"/>
        <v/>
      </c>
      <c r="G400" s="117"/>
      <c r="H400" s="117"/>
      <c r="I400" s="117"/>
      <c r="J400" s="84"/>
      <c r="L400" s="75" t="str">
        <f t="shared" si="34"/>
        <v/>
      </c>
      <c r="M400" s="75" t="str">
        <f t="shared" si="35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1"/>
        <v/>
      </c>
      <c r="D401" s="72" t="str">
        <f t="shared" si="32"/>
        <v/>
      </c>
      <c r="E401" s="84"/>
      <c r="F401" s="122" t="str">
        <f t="shared" si="33"/>
        <v/>
      </c>
      <c r="G401" s="117"/>
      <c r="H401" s="117"/>
      <c r="I401" s="117"/>
      <c r="J401" s="84"/>
      <c r="L401" s="75" t="str">
        <f t="shared" si="34"/>
        <v/>
      </c>
      <c r="M401" s="75" t="str">
        <f t="shared" si="35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1"/>
        <v/>
      </c>
      <c r="D402" s="72" t="str">
        <f t="shared" si="32"/>
        <v/>
      </c>
      <c r="E402" s="84"/>
      <c r="F402" s="122" t="str">
        <f t="shared" si="33"/>
        <v/>
      </c>
      <c r="G402" s="117"/>
      <c r="H402" s="117"/>
      <c r="I402" s="117"/>
      <c r="J402" s="84"/>
      <c r="L402" s="75" t="str">
        <f t="shared" si="34"/>
        <v/>
      </c>
      <c r="M402" s="75" t="str">
        <f t="shared" si="35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1"/>
        <v/>
      </c>
      <c r="D403" s="72" t="str">
        <f t="shared" si="32"/>
        <v/>
      </c>
      <c r="E403" s="84"/>
      <c r="F403" s="122" t="str">
        <f t="shared" si="33"/>
        <v/>
      </c>
      <c r="G403" s="117"/>
      <c r="H403" s="117"/>
      <c r="I403" s="117"/>
      <c r="J403" s="84"/>
      <c r="L403" s="75" t="str">
        <f t="shared" si="34"/>
        <v/>
      </c>
      <c r="M403" s="75" t="str">
        <f t="shared" si="35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1"/>
        <v/>
      </c>
      <c r="D404" s="72" t="str">
        <f t="shared" si="32"/>
        <v/>
      </c>
      <c r="E404" s="84"/>
      <c r="F404" s="122" t="str">
        <f t="shared" si="33"/>
        <v/>
      </c>
      <c r="G404" s="117"/>
      <c r="H404" s="117"/>
      <c r="I404" s="117"/>
      <c r="J404" s="84"/>
      <c r="L404" s="75" t="str">
        <f t="shared" si="34"/>
        <v/>
      </c>
      <c r="M404" s="75" t="str">
        <f t="shared" si="35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1"/>
        <v/>
      </c>
      <c r="D405" s="72" t="str">
        <f t="shared" si="32"/>
        <v/>
      </c>
      <c r="E405" s="84"/>
      <c r="F405" s="122" t="str">
        <f t="shared" si="33"/>
        <v/>
      </c>
      <c r="G405" s="117"/>
      <c r="H405" s="117"/>
      <c r="I405" s="117"/>
      <c r="J405" s="84"/>
      <c r="L405" s="75" t="str">
        <f t="shared" si="34"/>
        <v/>
      </c>
      <c r="M405" s="75" t="str">
        <f t="shared" si="35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1"/>
        <v/>
      </c>
      <c r="D406" s="72" t="str">
        <f t="shared" si="32"/>
        <v/>
      </c>
      <c r="E406" s="84"/>
      <c r="F406" s="122" t="str">
        <f t="shared" si="33"/>
        <v/>
      </c>
      <c r="G406" s="117"/>
      <c r="H406" s="117"/>
      <c r="I406" s="117"/>
      <c r="J406" s="84"/>
      <c r="L406" s="75" t="str">
        <f t="shared" si="34"/>
        <v/>
      </c>
      <c r="M406" s="75" t="str">
        <f t="shared" si="35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1"/>
        <v/>
      </c>
      <c r="D407" s="72" t="str">
        <f t="shared" si="32"/>
        <v/>
      </c>
      <c r="E407" s="84"/>
      <c r="F407" s="122" t="str">
        <f t="shared" si="33"/>
        <v/>
      </c>
      <c r="G407" s="117"/>
      <c r="H407" s="117"/>
      <c r="I407" s="117"/>
      <c r="J407" s="84"/>
      <c r="L407" s="75" t="str">
        <f t="shared" si="34"/>
        <v/>
      </c>
      <c r="M407" s="75" t="str">
        <f t="shared" si="35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1"/>
        <v/>
      </c>
      <c r="D408" s="72" t="str">
        <f t="shared" si="32"/>
        <v/>
      </c>
      <c r="E408" s="84"/>
      <c r="F408" s="122" t="str">
        <f t="shared" si="33"/>
        <v/>
      </c>
      <c r="G408" s="117"/>
      <c r="H408" s="117"/>
      <c r="I408" s="117"/>
      <c r="J408" s="84"/>
      <c r="L408" s="75" t="str">
        <f t="shared" si="34"/>
        <v/>
      </c>
      <c r="M408" s="75" t="str">
        <f t="shared" si="35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1"/>
        <v/>
      </c>
      <c r="D409" s="72" t="str">
        <f t="shared" si="32"/>
        <v/>
      </c>
      <c r="E409" s="84"/>
      <c r="F409" s="122" t="str">
        <f t="shared" si="33"/>
        <v/>
      </c>
      <c r="G409" s="117"/>
      <c r="H409" s="117"/>
      <c r="I409" s="117"/>
      <c r="J409" s="84"/>
      <c r="L409" s="75" t="str">
        <f t="shared" si="34"/>
        <v/>
      </c>
      <c r="M409" s="75" t="str">
        <f t="shared" si="35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1"/>
        <v/>
      </c>
      <c r="D410" s="72" t="str">
        <f t="shared" si="32"/>
        <v/>
      </c>
      <c r="E410" s="84"/>
      <c r="F410" s="122" t="str">
        <f t="shared" si="33"/>
        <v/>
      </c>
      <c r="G410" s="117"/>
      <c r="H410" s="117"/>
      <c r="I410" s="117"/>
      <c r="J410" s="84"/>
      <c r="L410" s="75" t="str">
        <f t="shared" si="34"/>
        <v/>
      </c>
      <c r="M410" s="75" t="str">
        <f t="shared" si="35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1"/>
        <v/>
      </c>
      <c r="D411" s="72" t="str">
        <f t="shared" si="32"/>
        <v/>
      </c>
      <c r="E411" s="84"/>
      <c r="F411" s="122" t="str">
        <f t="shared" si="33"/>
        <v/>
      </c>
      <c r="G411" s="117"/>
      <c r="H411" s="117"/>
      <c r="I411" s="117"/>
      <c r="J411" s="84"/>
      <c r="L411" s="75" t="str">
        <f t="shared" si="34"/>
        <v/>
      </c>
      <c r="M411" s="75" t="str">
        <f t="shared" si="35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1"/>
        <v/>
      </c>
      <c r="D412" s="72" t="str">
        <f t="shared" si="32"/>
        <v/>
      </c>
      <c r="E412" s="84"/>
      <c r="F412" s="122" t="str">
        <f t="shared" si="33"/>
        <v/>
      </c>
      <c r="G412" s="117"/>
      <c r="H412" s="117"/>
      <c r="I412" s="117"/>
      <c r="J412" s="84"/>
      <c r="L412" s="75" t="str">
        <f t="shared" si="34"/>
        <v/>
      </c>
      <c r="M412" s="75" t="str">
        <f t="shared" si="35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1"/>
        <v/>
      </c>
      <c r="D413" s="72" t="str">
        <f t="shared" si="32"/>
        <v/>
      </c>
      <c r="E413" s="84"/>
      <c r="F413" s="122" t="str">
        <f t="shared" si="33"/>
        <v/>
      </c>
      <c r="G413" s="117"/>
      <c r="H413" s="117"/>
      <c r="I413" s="117"/>
      <c r="J413" s="84"/>
      <c r="L413" s="75" t="str">
        <f t="shared" si="34"/>
        <v/>
      </c>
      <c r="M413" s="75" t="str">
        <f t="shared" si="35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1"/>
        <v/>
      </c>
      <c r="D414" s="72" t="str">
        <f t="shared" si="32"/>
        <v/>
      </c>
      <c r="E414" s="84"/>
      <c r="F414" s="122" t="str">
        <f t="shared" si="33"/>
        <v/>
      </c>
      <c r="G414" s="117"/>
      <c r="H414" s="117"/>
      <c r="I414" s="117"/>
      <c r="J414" s="84"/>
      <c r="L414" s="75" t="str">
        <f t="shared" si="34"/>
        <v/>
      </c>
      <c r="M414" s="75" t="str">
        <f t="shared" si="35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1"/>
        <v/>
      </c>
      <c r="D415" s="72" t="str">
        <f t="shared" si="32"/>
        <v/>
      </c>
      <c r="E415" s="84"/>
      <c r="F415" s="122" t="str">
        <f t="shared" si="33"/>
        <v/>
      </c>
      <c r="G415" s="117"/>
      <c r="H415" s="117"/>
      <c r="I415" s="117"/>
      <c r="J415" s="84"/>
      <c r="L415" s="75" t="str">
        <f t="shared" si="34"/>
        <v/>
      </c>
      <c r="M415" s="75" t="str">
        <f t="shared" si="35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1"/>
        <v/>
      </c>
      <c r="D416" s="72" t="str">
        <f t="shared" si="32"/>
        <v/>
      </c>
      <c r="E416" s="84"/>
      <c r="F416" s="122" t="str">
        <f t="shared" si="33"/>
        <v/>
      </c>
      <c r="G416" s="117"/>
      <c r="H416" s="117"/>
      <c r="I416" s="117"/>
      <c r="J416" s="84"/>
      <c r="L416" s="75" t="str">
        <f t="shared" si="34"/>
        <v/>
      </c>
      <c r="M416" s="75" t="str">
        <f t="shared" si="35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1"/>
        <v/>
      </c>
      <c r="D417" s="72" t="str">
        <f t="shared" si="32"/>
        <v/>
      </c>
      <c r="E417" s="84"/>
      <c r="F417" s="122" t="str">
        <f t="shared" si="33"/>
        <v/>
      </c>
      <c r="G417" s="117"/>
      <c r="H417" s="117"/>
      <c r="I417" s="117"/>
      <c r="J417" s="84"/>
      <c r="L417" s="75" t="str">
        <f t="shared" si="34"/>
        <v/>
      </c>
      <c r="M417" s="75" t="str">
        <f t="shared" si="35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1"/>
        <v/>
      </c>
      <c r="D418" s="72" t="str">
        <f t="shared" si="32"/>
        <v/>
      </c>
      <c r="E418" s="84"/>
      <c r="F418" s="122" t="str">
        <f t="shared" si="33"/>
        <v/>
      </c>
      <c r="G418" s="117"/>
      <c r="H418" s="117"/>
      <c r="I418" s="117"/>
      <c r="J418" s="84"/>
      <c r="L418" s="75" t="str">
        <f t="shared" si="34"/>
        <v/>
      </c>
      <c r="M418" s="75" t="str">
        <f t="shared" si="35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1"/>
        <v/>
      </c>
      <c r="D419" s="72" t="str">
        <f t="shared" si="32"/>
        <v/>
      </c>
      <c r="E419" s="84"/>
      <c r="F419" s="122" t="str">
        <f t="shared" si="33"/>
        <v/>
      </c>
      <c r="G419" s="117"/>
      <c r="H419" s="117"/>
      <c r="I419" s="117"/>
      <c r="J419" s="84"/>
      <c r="L419" s="75" t="str">
        <f t="shared" si="34"/>
        <v/>
      </c>
      <c r="M419" s="75" t="str">
        <f t="shared" si="35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1"/>
        <v/>
      </c>
      <c r="D420" s="72" t="str">
        <f t="shared" si="32"/>
        <v/>
      </c>
      <c r="E420" s="84"/>
      <c r="F420" s="122" t="str">
        <f t="shared" si="33"/>
        <v/>
      </c>
      <c r="G420" s="117"/>
      <c r="H420" s="117"/>
      <c r="I420" s="117"/>
      <c r="J420" s="84"/>
      <c r="L420" s="75" t="str">
        <f t="shared" si="34"/>
        <v/>
      </c>
      <c r="M420" s="75" t="str">
        <f t="shared" si="35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1"/>
        <v/>
      </c>
      <c r="D421" s="72" t="str">
        <f t="shared" si="32"/>
        <v/>
      </c>
      <c r="E421" s="84"/>
      <c r="F421" s="122" t="str">
        <f t="shared" si="33"/>
        <v/>
      </c>
      <c r="G421" s="117"/>
      <c r="H421" s="117"/>
      <c r="I421" s="117"/>
      <c r="J421" s="84"/>
      <c r="L421" s="75" t="str">
        <f t="shared" si="34"/>
        <v/>
      </c>
      <c r="M421" s="75" t="str">
        <f t="shared" si="35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1"/>
        <v/>
      </c>
      <c r="D422" s="72" t="str">
        <f t="shared" si="32"/>
        <v/>
      </c>
      <c r="E422" s="84"/>
      <c r="F422" s="122" t="str">
        <f t="shared" si="33"/>
        <v/>
      </c>
      <c r="G422" s="117"/>
      <c r="H422" s="117"/>
      <c r="I422" s="117"/>
      <c r="J422" s="84"/>
      <c r="L422" s="75" t="str">
        <f t="shared" si="34"/>
        <v/>
      </c>
      <c r="M422" s="75" t="str">
        <f t="shared" si="35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1"/>
        <v/>
      </c>
      <c r="D423" s="72" t="str">
        <f t="shared" si="32"/>
        <v/>
      </c>
      <c r="E423" s="84"/>
      <c r="F423" s="122" t="str">
        <f t="shared" si="33"/>
        <v/>
      </c>
      <c r="G423" s="117"/>
      <c r="H423" s="117"/>
      <c r="I423" s="117"/>
      <c r="J423" s="84"/>
      <c r="L423" s="75" t="str">
        <f t="shared" si="34"/>
        <v/>
      </c>
      <c r="M423" s="75" t="str">
        <f t="shared" si="35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1"/>
        <v/>
      </c>
      <c r="D424" s="72" t="str">
        <f t="shared" si="32"/>
        <v/>
      </c>
      <c r="E424" s="84"/>
      <c r="F424" s="122" t="str">
        <f t="shared" si="33"/>
        <v/>
      </c>
      <c r="G424" s="117"/>
      <c r="H424" s="117"/>
      <c r="I424" s="117"/>
      <c r="J424" s="84"/>
      <c r="L424" s="75" t="str">
        <f t="shared" si="34"/>
        <v/>
      </c>
      <c r="M424" s="75" t="str">
        <f t="shared" si="35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1"/>
        <v/>
      </c>
      <c r="D425" s="72" t="str">
        <f t="shared" si="32"/>
        <v/>
      </c>
      <c r="E425" s="84"/>
      <c r="F425" s="122" t="str">
        <f t="shared" si="33"/>
        <v/>
      </c>
      <c r="G425" s="117"/>
      <c r="H425" s="117"/>
      <c r="I425" s="117"/>
      <c r="J425" s="84"/>
      <c r="L425" s="75" t="str">
        <f t="shared" si="34"/>
        <v/>
      </c>
      <c r="M425" s="75" t="str">
        <f t="shared" si="35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1"/>
        <v/>
      </c>
      <c r="D426" s="72" t="str">
        <f t="shared" si="32"/>
        <v/>
      </c>
      <c r="E426" s="84"/>
      <c r="F426" s="122" t="str">
        <f t="shared" si="33"/>
        <v/>
      </c>
      <c r="G426" s="117"/>
      <c r="H426" s="117"/>
      <c r="I426" s="117"/>
      <c r="J426" s="84"/>
      <c r="L426" s="75" t="str">
        <f t="shared" si="34"/>
        <v/>
      </c>
      <c r="M426" s="75" t="str">
        <f t="shared" si="35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1"/>
        <v/>
      </c>
      <c r="D427" s="72" t="str">
        <f t="shared" si="32"/>
        <v/>
      </c>
      <c r="E427" s="84"/>
      <c r="F427" s="122" t="str">
        <f t="shared" si="33"/>
        <v/>
      </c>
      <c r="G427" s="117"/>
      <c r="H427" s="117"/>
      <c r="I427" s="117"/>
      <c r="J427" s="84"/>
      <c r="L427" s="75" t="str">
        <f t="shared" si="34"/>
        <v/>
      </c>
      <c r="M427" s="75" t="str">
        <f t="shared" si="35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1"/>
        <v/>
      </c>
      <c r="D428" s="72" t="str">
        <f t="shared" si="32"/>
        <v/>
      </c>
      <c r="E428" s="84"/>
      <c r="F428" s="122" t="str">
        <f t="shared" si="33"/>
        <v/>
      </c>
      <c r="G428" s="117"/>
      <c r="H428" s="117"/>
      <c r="I428" s="117"/>
      <c r="J428" s="84"/>
      <c r="L428" s="75" t="str">
        <f t="shared" si="34"/>
        <v/>
      </c>
      <c r="M428" s="75" t="str">
        <f t="shared" si="35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1"/>
        <v/>
      </c>
      <c r="D429" s="72" t="str">
        <f t="shared" si="32"/>
        <v/>
      </c>
      <c r="E429" s="84"/>
      <c r="F429" s="122" t="str">
        <f t="shared" si="33"/>
        <v/>
      </c>
      <c r="G429" s="117"/>
      <c r="H429" s="117"/>
      <c r="I429" s="117"/>
      <c r="J429" s="84"/>
      <c r="L429" s="75" t="str">
        <f t="shared" si="34"/>
        <v/>
      </c>
      <c r="M429" s="75" t="str">
        <f t="shared" si="35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1"/>
        <v/>
      </c>
      <c r="D430" s="72" t="str">
        <f t="shared" si="32"/>
        <v/>
      </c>
      <c r="E430" s="84"/>
      <c r="F430" s="122" t="str">
        <f t="shared" si="33"/>
        <v/>
      </c>
      <c r="G430" s="117"/>
      <c r="H430" s="117"/>
      <c r="I430" s="117"/>
      <c r="J430" s="84"/>
      <c r="L430" s="75" t="str">
        <f t="shared" si="34"/>
        <v/>
      </c>
      <c r="M430" s="75" t="str">
        <f t="shared" si="35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1"/>
        <v/>
      </c>
      <c r="D431" s="72" t="str">
        <f t="shared" si="32"/>
        <v/>
      </c>
      <c r="E431" s="84"/>
      <c r="F431" s="122" t="str">
        <f t="shared" si="33"/>
        <v/>
      </c>
      <c r="G431" s="117"/>
      <c r="H431" s="117"/>
      <c r="I431" s="117"/>
      <c r="J431" s="84"/>
      <c r="L431" s="75" t="str">
        <f t="shared" si="34"/>
        <v/>
      </c>
      <c r="M431" s="75" t="str">
        <f t="shared" si="35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1"/>
        <v/>
      </c>
      <c r="D432" s="72" t="str">
        <f t="shared" si="32"/>
        <v/>
      </c>
      <c r="E432" s="84"/>
      <c r="F432" s="122" t="str">
        <f t="shared" si="33"/>
        <v/>
      </c>
      <c r="G432" s="117"/>
      <c r="H432" s="117"/>
      <c r="I432" s="117"/>
      <c r="J432" s="84"/>
      <c r="L432" s="75" t="str">
        <f t="shared" si="34"/>
        <v/>
      </c>
      <c r="M432" s="75" t="str">
        <f t="shared" si="35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1"/>
        <v/>
      </c>
      <c r="D433" s="72" t="str">
        <f t="shared" si="32"/>
        <v/>
      </c>
      <c r="E433" s="84"/>
      <c r="F433" s="122" t="str">
        <f t="shared" si="33"/>
        <v/>
      </c>
      <c r="G433" s="117"/>
      <c r="H433" s="117"/>
      <c r="I433" s="117"/>
      <c r="J433" s="84"/>
      <c r="L433" s="75" t="str">
        <f t="shared" si="34"/>
        <v/>
      </c>
      <c r="M433" s="75" t="str">
        <f t="shared" si="35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1"/>
        <v/>
      </c>
      <c r="D434" s="72" t="str">
        <f t="shared" si="32"/>
        <v/>
      </c>
      <c r="E434" s="84"/>
      <c r="F434" s="122" t="str">
        <f t="shared" si="33"/>
        <v/>
      </c>
      <c r="G434" s="117"/>
      <c r="H434" s="117"/>
      <c r="I434" s="117"/>
      <c r="J434" s="84"/>
      <c r="L434" s="75" t="str">
        <f t="shared" si="34"/>
        <v/>
      </c>
      <c r="M434" s="75" t="str">
        <f t="shared" si="35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1"/>
        <v/>
      </c>
      <c r="D435" s="72" t="str">
        <f t="shared" si="32"/>
        <v/>
      </c>
      <c r="E435" s="84"/>
      <c r="F435" s="122" t="str">
        <f t="shared" si="33"/>
        <v/>
      </c>
      <c r="G435" s="117"/>
      <c r="H435" s="117"/>
      <c r="I435" s="117"/>
      <c r="J435" s="84"/>
      <c r="L435" s="75" t="str">
        <f t="shared" si="34"/>
        <v/>
      </c>
      <c r="M435" s="75" t="str">
        <f t="shared" si="35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1"/>
        <v/>
      </c>
      <c r="D436" s="72" t="str">
        <f t="shared" si="32"/>
        <v/>
      </c>
      <c r="E436" s="84"/>
      <c r="F436" s="122" t="str">
        <f t="shared" si="33"/>
        <v/>
      </c>
      <c r="G436" s="117"/>
      <c r="H436" s="117"/>
      <c r="I436" s="117"/>
      <c r="J436" s="84"/>
      <c r="L436" s="75" t="str">
        <f t="shared" si="34"/>
        <v/>
      </c>
      <c r="M436" s="75" t="str">
        <f t="shared" si="35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1"/>
        <v/>
      </c>
      <c r="D437" s="72" t="str">
        <f t="shared" si="32"/>
        <v/>
      </c>
      <c r="E437" s="84"/>
      <c r="F437" s="122" t="str">
        <f t="shared" si="33"/>
        <v/>
      </c>
      <c r="G437" s="117"/>
      <c r="H437" s="117"/>
      <c r="I437" s="117"/>
      <c r="J437" s="84"/>
      <c r="L437" s="75" t="str">
        <f t="shared" si="34"/>
        <v/>
      </c>
      <c r="M437" s="75" t="str">
        <f t="shared" si="35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1"/>
        <v/>
      </c>
      <c r="D438" s="72" t="str">
        <f t="shared" si="32"/>
        <v/>
      </c>
      <c r="E438" s="84"/>
      <c r="F438" s="122" t="str">
        <f t="shared" si="33"/>
        <v/>
      </c>
      <c r="G438" s="117"/>
      <c r="H438" s="117"/>
      <c r="I438" s="117"/>
      <c r="J438" s="84"/>
      <c r="L438" s="75" t="str">
        <f t="shared" si="34"/>
        <v/>
      </c>
      <c r="M438" s="75" t="str">
        <f t="shared" si="35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1"/>
        <v/>
      </c>
      <c r="D439" s="72" t="str">
        <f t="shared" si="32"/>
        <v/>
      </c>
      <c r="E439" s="84"/>
      <c r="F439" s="122" t="str">
        <f t="shared" si="33"/>
        <v/>
      </c>
      <c r="G439" s="117"/>
      <c r="H439" s="117"/>
      <c r="I439" s="117"/>
      <c r="J439" s="84"/>
      <c r="L439" s="75" t="str">
        <f t="shared" si="34"/>
        <v/>
      </c>
      <c r="M439" s="75" t="str">
        <f t="shared" si="35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1"/>
        <v/>
      </c>
      <c r="D440" s="72" t="str">
        <f t="shared" si="32"/>
        <v/>
      </c>
      <c r="E440" s="84"/>
      <c r="F440" s="122" t="str">
        <f t="shared" si="33"/>
        <v/>
      </c>
      <c r="G440" s="117"/>
      <c r="H440" s="117"/>
      <c r="I440" s="117"/>
      <c r="J440" s="84"/>
      <c r="L440" s="75" t="str">
        <f t="shared" si="34"/>
        <v/>
      </c>
      <c r="M440" s="75" t="str">
        <f t="shared" si="35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1"/>
        <v/>
      </c>
      <c r="D441" s="72" t="str">
        <f t="shared" si="32"/>
        <v/>
      </c>
      <c r="E441" s="84"/>
      <c r="F441" s="122" t="str">
        <f t="shared" si="33"/>
        <v/>
      </c>
      <c r="G441" s="117"/>
      <c r="H441" s="117"/>
      <c r="I441" s="117"/>
      <c r="J441" s="84"/>
      <c r="L441" s="75" t="str">
        <f t="shared" si="34"/>
        <v/>
      </c>
      <c r="M441" s="75" t="str">
        <f t="shared" si="35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1"/>
        <v/>
      </c>
      <c r="D442" s="72" t="str">
        <f t="shared" si="32"/>
        <v/>
      </c>
      <c r="E442" s="84"/>
      <c r="F442" s="122" t="str">
        <f t="shared" si="33"/>
        <v/>
      </c>
      <c r="G442" s="117"/>
      <c r="H442" s="117"/>
      <c r="I442" s="117"/>
      <c r="J442" s="84"/>
      <c r="L442" s="75" t="str">
        <f t="shared" si="34"/>
        <v/>
      </c>
      <c r="M442" s="75" t="str">
        <f t="shared" si="35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1"/>
        <v/>
      </c>
      <c r="D443" s="72" t="str">
        <f t="shared" si="32"/>
        <v/>
      </c>
      <c r="E443" s="84"/>
      <c r="F443" s="122" t="str">
        <f t="shared" si="33"/>
        <v/>
      </c>
      <c r="G443" s="117"/>
      <c r="H443" s="117"/>
      <c r="I443" s="117"/>
      <c r="J443" s="84"/>
      <c r="L443" s="75" t="str">
        <f t="shared" si="34"/>
        <v/>
      </c>
      <c r="M443" s="75" t="str">
        <f t="shared" si="35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1"/>
        <v/>
      </c>
      <c r="D444" s="72" t="str">
        <f t="shared" si="32"/>
        <v/>
      </c>
      <c r="E444" s="84"/>
      <c r="F444" s="122" t="str">
        <f t="shared" si="33"/>
        <v/>
      </c>
      <c r="G444" s="117"/>
      <c r="H444" s="117"/>
      <c r="I444" s="117"/>
      <c r="J444" s="84"/>
      <c r="L444" s="75" t="str">
        <f t="shared" si="34"/>
        <v/>
      </c>
      <c r="M444" s="75" t="str">
        <f t="shared" si="35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1"/>
        <v/>
      </c>
      <c r="D445" s="72" t="str">
        <f t="shared" si="32"/>
        <v/>
      </c>
      <c r="E445" s="84"/>
      <c r="F445" s="122" t="str">
        <f t="shared" si="33"/>
        <v/>
      </c>
      <c r="G445" s="117"/>
      <c r="H445" s="117"/>
      <c r="I445" s="117"/>
      <c r="J445" s="84"/>
      <c r="L445" s="75" t="str">
        <f t="shared" si="34"/>
        <v/>
      </c>
      <c r="M445" s="75" t="str">
        <f t="shared" si="35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1"/>
        <v/>
      </c>
      <c r="D446" s="72" t="str">
        <f t="shared" si="32"/>
        <v/>
      </c>
      <c r="E446" s="84"/>
      <c r="F446" s="122" t="str">
        <f t="shared" si="33"/>
        <v/>
      </c>
      <c r="G446" s="117"/>
      <c r="H446" s="117"/>
      <c r="I446" s="117"/>
      <c r="J446" s="84"/>
      <c r="L446" s="75" t="str">
        <f t="shared" si="34"/>
        <v/>
      </c>
      <c r="M446" s="75" t="str">
        <f t="shared" si="35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1"/>
        <v/>
      </c>
      <c r="D447" s="72" t="str">
        <f t="shared" si="32"/>
        <v/>
      </c>
      <c r="E447" s="84"/>
      <c r="F447" s="122" t="str">
        <f t="shared" si="33"/>
        <v/>
      </c>
      <c r="G447" s="117"/>
      <c r="H447" s="117"/>
      <c r="I447" s="117"/>
      <c r="J447" s="84"/>
      <c r="L447" s="75" t="str">
        <f t="shared" si="34"/>
        <v/>
      </c>
      <c r="M447" s="75" t="str">
        <f t="shared" si="35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1"/>
        <v/>
      </c>
      <c r="D448" s="72" t="str">
        <f t="shared" si="32"/>
        <v/>
      </c>
      <c r="E448" s="84"/>
      <c r="F448" s="122" t="str">
        <f t="shared" si="33"/>
        <v/>
      </c>
      <c r="G448" s="117"/>
      <c r="H448" s="117"/>
      <c r="I448" s="117"/>
      <c r="J448" s="84"/>
      <c r="L448" s="75" t="str">
        <f t="shared" si="34"/>
        <v/>
      </c>
      <c r="M448" s="75" t="str">
        <f t="shared" si="35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1"/>
        <v/>
      </c>
      <c r="D449" s="72" t="str">
        <f t="shared" si="32"/>
        <v/>
      </c>
      <c r="E449" s="84"/>
      <c r="F449" s="122" t="str">
        <f t="shared" si="33"/>
        <v/>
      </c>
      <c r="G449" s="117"/>
      <c r="H449" s="117"/>
      <c r="I449" s="117"/>
      <c r="J449" s="84"/>
      <c r="L449" s="75" t="str">
        <f t="shared" si="34"/>
        <v/>
      </c>
      <c r="M449" s="75" t="str">
        <f t="shared" si="35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1"/>
        <v/>
      </c>
      <c r="D450" s="72" t="str">
        <f t="shared" si="32"/>
        <v/>
      </c>
      <c r="E450" s="84"/>
      <c r="F450" s="122" t="str">
        <f t="shared" si="33"/>
        <v/>
      </c>
      <c r="G450" s="117"/>
      <c r="H450" s="117"/>
      <c r="I450" s="117"/>
      <c r="J450" s="84"/>
      <c r="L450" s="75" t="str">
        <f t="shared" si="34"/>
        <v/>
      </c>
      <c r="M450" s="75" t="str">
        <f t="shared" si="35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1"/>
        <v/>
      </c>
      <c r="D451" s="72" t="str">
        <f t="shared" si="32"/>
        <v/>
      </c>
      <c r="E451" s="84"/>
      <c r="F451" s="122" t="str">
        <f t="shared" si="33"/>
        <v/>
      </c>
      <c r="G451" s="117"/>
      <c r="H451" s="117"/>
      <c r="I451" s="117"/>
      <c r="J451" s="84"/>
      <c r="L451" s="75" t="str">
        <f t="shared" si="34"/>
        <v/>
      </c>
      <c r="M451" s="75" t="str">
        <f t="shared" si="35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ref="C452:C502" si="36">IFERROR(VLOOKUP(E452,$R$6:$U$114,3,FALSE),"")</f>
        <v/>
      </c>
      <c r="D452" s="72" t="str">
        <f t="shared" ref="D452:D502" si="37">IFERROR(VLOOKUP(E452,$R$6:$U$114,4,FALSE),"")</f>
        <v/>
      </c>
      <c r="E452" s="84"/>
      <c r="F452" s="122" t="str">
        <f t="shared" ref="F452:F502" si="38">IFERROR(VLOOKUP(E452,$R$6:$U$114,2,FALSE),"")</f>
        <v/>
      </c>
      <c r="G452" s="117"/>
      <c r="H452" s="117"/>
      <c r="I452" s="117"/>
      <c r="J452" s="84"/>
      <c r="L452" s="75" t="str">
        <f t="shared" si="34"/>
        <v/>
      </c>
      <c r="M452" s="75" t="str">
        <f t="shared" si="35"/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6"/>
        <v/>
      </c>
      <c r="D453" s="72" t="str">
        <f t="shared" si="37"/>
        <v/>
      </c>
      <c r="E453" s="84"/>
      <c r="F453" s="122" t="str">
        <f t="shared" si="38"/>
        <v/>
      </c>
      <c r="G453" s="117"/>
      <c r="H453" s="117"/>
      <c r="I453" s="117"/>
      <c r="J453" s="84"/>
      <c r="L453" s="75" t="str">
        <f t="shared" ref="L453:L502" si="39">LEFT(E453,2)</f>
        <v/>
      </c>
      <c r="M453" s="75" t="str">
        <f t="shared" ref="M453:M502" si="40">LEFT(E453,3)</f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6"/>
        <v/>
      </c>
      <c r="D454" s="72" t="str">
        <f t="shared" si="37"/>
        <v/>
      </c>
      <c r="E454" s="84"/>
      <c r="F454" s="122" t="str">
        <f t="shared" si="38"/>
        <v/>
      </c>
      <c r="G454" s="117"/>
      <c r="H454" s="117"/>
      <c r="I454" s="117"/>
      <c r="J454" s="84"/>
      <c r="L454" s="75" t="str">
        <f t="shared" si="39"/>
        <v/>
      </c>
      <c r="M454" s="75" t="str">
        <f t="shared" si="40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6"/>
        <v/>
      </c>
      <c r="D455" s="72" t="str">
        <f t="shared" si="37"/>
        <v/>
      </c>
      <c r="E455" s="84"/>
      <c r="F455" s="122" t="str">
        <f t="shared" si="38"/>
        <v/>
      </c>
      <c r="G455" s="117"/>
      <c r="H455" s="117"/>
      <c r="I455" s="117"/>
      <c r="J455" s="84"/>
      <c r="L455" s="75" t="str">
        <f t="shared" si="39"/>
        <v/>
      </c>
      <c r="M455" s="75" t="str">
        <f t="shared" si="40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6"/>
        <v/>
      </c>
      <c r="D456" s="72" t="str">
        <f t="shared" si="37"/>
        <v/>
      </c>
      <c r="E456" s="84"/>
      <c r="F456" s="122" t="str">
        <f t="shared" si="38"/>
        <v/>
      </c>
      <c r="G456" s="117"/>
      <c r="H456" s="117"/>
      <c r="I456" s="117"/>
      <c r="J456" s="84"/>
      <c r="L456" s="75" t="str">
        <f t="shared" si="39"/>
        <v/>
      </c>
      <c r="M456" s="75" t="str">
        <f t="shared" si="40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6"/>
        <v/>
      </c>
      <c r="D457" s="72" t="str">
        <f t="shared" si="37"/>
        <v/>
      </c>
      <c r="E457" s="84"/>
      <c r="F457" s="122" t="str">
        <f t="shared" si="38"/>
        <v/>
      </c>
      <c r="G457" s="117"/>
      <c r="H457" s="117"/>
      <c r="I457" s="117"/>
      <c r="J457" s="84"/>
      <c r="L457" s="75" t="str">
        <f t="shared" si="39"/>
        <v/>
      </c>
      <c r="M457" s="75" t="str">
        <f t="shared" si="40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6"/>
        <v/>
      </c>
      <c r="D458" s="72" t="str">
        <f t="shared" si="37"/>
        <v/>
      </c>
      <c r="E458" s="84"/>
      <c r="F458" s="122" t="str">
        <f t="shared" si="38"/>
        <v/>
      </c>
      <c r="G458" s="117"/>
      <c r="H458" s="117"/>
      <c r="I458" s="117"/>
      <c r="J458" s="84"/>
      <c r="L458" s="75" t="str">
        <f t="shared" si="39"/>
        <v/>
      </c>
      <c r="M458" s="75" t="str">
        <f t="shared" si="40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6"/>
        <v/>
      </c>
      <c r="D459" s="72" t="str">
        <f t="shared" si="37"/>
        <v/>
      </c>
      <c r="E459" s="84"/>
      <c r="F459" s="122" t="str">
        <f t="shared" si="38"/>
        <v/>
      </c>
      <c r="G459" s="117"/>
      <c r="H459" s="117"/>
      <c r="I459" s="117"/>
      <c r="J459" s="84"/>
      <c r="L459" s="75" t="str">
        <f t="shared" si="39"/>
        <v/>
      </c>
      <c r="M459" s="75" t="str">
        <f t="shared" si="40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6"/>
        <v/>
      </c>
      <c r="D460" s="72" t="str">
        <f t="shared" si="37"/>
        <v/>
      </c>
      <c r="E460" s="84"/>
      <c r="F460" s="122" t="str">
        <f t="shared" si="38"/>
        <v/>
      </c>
      <c r="G460" s="117"/>
      <c r="H460" s="117"/>
      <c r="I460" s="117"/>
      <c r="J460" s="84"/>
      <c r="L460" s="75" t="str">
        <f t="shared" si="39"/>
        <v/>
      </c>
      <c r="M460" s="75" t="str">
        <f t="shared" si="40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6"/>
        <v/>
      </c>
      <c r="D461" s="72" t="str">
        <f t="shared" si="37"/>
        <v/>
      </c>
      <c r="E461" s="84"/>
      <c r="F461" s="122" t="str">
        <f t="shared" si="38"/>
        <v/>
      </c>
      <c r="G461" s="117"/>
      <c r="H461" s="117"/>
      <c r="I461" s="117"/>
      <c r="J461" s="84"/>
      <c r="L461" s="75" t="str">
        <f t="shared" si="39"/>
        <v/>
      </c>
      <c r="M461" s="75" t="str">
        <f t="shared" si="40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6"/>
        <v/>
      </c>
      <c r="D462" s="72" t="str">
        <f t="shared" si="37"/>
        <v/>
      </c>
      <c r="E462" s="84"/>
      <c r="F462" s="122" t="str">
        <f t="shared" si="38"/>
        <v/>
      </c>
      <c r="G462" s="117"/>
      <c r="H462" s="117"/>
      <c r="I462" s="117"/>
      <c r="J462" s="84"/>
      <c r="L462" s="75" t="str">
        <f t="shared" si="39"/>
        <v/>
      </c>
      <c r="M462" s="75" t="str">
        <f t="shared" si="40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6"/>
        <v/>
      </c>
      <c r="D463" s="72" t="str">
        <f t="shared" si="37"/>
        <v/>
      </c>
      <c r="E463" s="84"/>
      <c r="F463" s="122" t="str">
        <f t="shared" si="38"/>
        <v/>
      </c>
      <c r="G463" s="117"/>
      <c r="H463" s="117"/>
      <c r="I463" s="117"/>
      <c r="J463" s="84"/>
      <c r="L463" s="75" t="str">
        <f t="shared" si="39"/>
        <v/>
      </c>
      <c r="M463" s="75" t="str">
        <f t="shared" si="40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6"/>
        <v/>
      </c>
      <c r="D464" s="72" t="str">
        <f t="shared" si="37"/>
        <v/>
      </c>
      <c r="E464" s="84"/>
      <c r="F464" s="122" t="str">
        <f t="shared" si="38"/>
        <v/>
      </c>
      <c r="G464" s="117"/>
      <c r="H464" s="117"/>
      <c r="I464" s="117"/>
      <c r="J464" s="84"/>
      <c r="L464" s="75" t="str">
        <f t="shared" si="39"/>
        <v/>
      </c>
      <c r="M464" s="75" t="str">
        <f t="shared" si="40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6"/>
        <v/>
      </c>
      <c r="D465" s="72" t="str">
        <f t="shared" si="37"/>
        <v/>
      </c>
      <c r="E465" s="84"/>
      <c r="F465" s="122" t="str">
        <f t="shared" si="38"/>
        <v/>
      </c>
      <c r="G465" s="117"/>
      <c r="H465" s="117"/>
      <c r="I465" s="117"/>
      <c r="J465" s="84"/>
      <c r="L465" s="75" t="str">
        <f t="shared" si="39"/>
        <v/>
      </c>
      <c r="M465" s="75" t="str">
        <f t="shared" si="40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6"/>
        <v/>
      </c>
      <c r="D466" s="72" t="str">
        <f t="shared" si="37"/>
        <v/>
      </c>
      <c r="E466" s="84"/>
      <c r="F466" s="122" t="str">
        <f t="shared" si="38"/>
        <v/>
      </c>
      <c r="G466" s="117"/>
      <c r="H466" s="117"/>
      <c r="I466" s="117"/>
      <c r="J466" s="84"/>
      <c r="L466" s="75" t="str">
        <f t="shared" si="39"/>
        <v/>
      </c>
      <c r="M466" s="75" t="str">
        <f t="shared" si="40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6"/>
        <v/>
      </c>
      <c r="D467" s="72" t="str">
        <f t="shared" si="37"/>
        <v/>
      </c>
      <c r="E467" s="84"/>
      <c r="F467" s="122" t="str">
        <f t="shared" si="38"/>
        <v/>
      </c>
      <c r="G467" s="117"/>
      <c r="H467" s="117"/>
      <c r="I467" s="117"/>
      <c r="J467" s="84"/>
      <c r="L467" s="75" t="str">
        <f t="shared" si="39"/>
        <v/>
      </c>
      <c r="M467" s="75" t="str">
        <f t="shared" si="40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6"/>
        <v/>
      </c>
      <c r="D468" s="72" t="str">
        <f t="shared" si="37"/>
        <v/>
      </c>
      <c r="E468" s="84"/>
      <c r="F468" s="122" t="str">
        <f t="shared" si="38"/>
        <v/>
      </c>
      <c r="G468" s="117"/>
      <c r="H468" s="117"/>
      <c r="I468" s="117"/>
      <c r="J468" s="84"/>
      <c r="L468" s="75" t="str">
        <f t="shared" si="39"/>
        <v/>
      </c>
      <c r="M468" s="75" t="str">
        <f t="shared" si="40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6"/>
        <v/>
      </c>
      <c r="D469" s="72" t="str">
        <f t="shared" si="37"/>
        <v/>
      </c>
      <c r="E469" s="84"/>
      <c r="F469" s="122" t="str">
        <f t="shared" si="38"/>
        <v/>
      </c>
      <c r="G469" s="117"/>
      <c r="H469" s="117"/>
      <c r="I469" s="117"/>
      <c r="J469" s="84"/>
      <c r="L469" s="75" t="str">
        <f t="shared" si="39"/>
        <v/>
      </c>
      <c r="M469" s="75" t="str">
        <f t="shared" si="40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6"/>
        <v/>
      </c>
      <c r="D470" s="72" t="str">
        <f t="shared" si="37"/>
        <v/>
      </c>
      <c r="E470" s="84"/>
      <c r="F470" s="122" t="str">
        <f t="shared" si="38"/>
        <v/>
      </c>
      <c r="G470" s="117"/>
      <c r="H470" s="117"/>
      <c r="I470" s="117"/>
      <c r="J470" s="84"/>
      <c r="L470" s="75" t="str">
        <f t="shared" si="39"/>
        <v/>
      </c>
      <c r="M470" s="75" t="str">
        <f t="shared" si="40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6"/>
        <v/>
      </c>
      <c r="D471" s="72" t="str">
        <f t="shared" si="37"/>
        <v/>
      </c>
      <c r="E471" s="84"/>
      <c r="F471" s="122" t="str">
        <f t="shared" si="38"/>
        <v/>
      </c>
      <c r="G471" s="117"/>
      <c r="H471" s="117"/>
      <c r="I471" s="117"/>
      <c r="J471" s="84"/>
      <c r="L471" s="75" t="str">
        <f t="shared" si="39"/>
        <v/>
      </c>
      <c r="M471" s="75" t="str">
        <f t="shared" si="40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6"/>
        <v/>
      </c>
      <c r="D472" s="72" t="str">
        <f t="shared" si="37"/>
        <v/>
      </c>
      <c r="E472" s="84"/>
      <c r="F472" s="122" t="str">
        <f t="shared" si="38"/>
        <v/>
      </c>
      <c r="G472" s="117"/>
      <c r="H472" s="117"/>
      <c r="I472" s="117"/>
      <c r="J472" s="84"/>
      <c r="L472" s="75" t="str">
        <f t="shared" si="39"/>
        <v/>
      </c>
      <c r="M472" s="75" t="str">
        <f t="shared" si="40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6"/>
        <v/>
      </c>
      <c r="D473" s="72" t="str">
        <f t="shared" si="37"/>
        <v/>
      </c>
      <c r="E473" s="84"/>
      <c r="F473" s="122" t="str">
        <f t="shared" si="38"/>
        <v/>
      </c>
      <c r="G473" s="117"/>
      <c r="H473" s="117"/>
      <c r="I473" s="117"/>
      <c r="J473" s="84"/>
      <c r="L473" s="75" t="str">
        <f t="shared" si="39"/>
        <v/>
      </c>
      <c r="M473" s="75" t="str">
        <f t="shared" si="40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6"/>
        <v/>
      </c>
      <c r="D474" s="72" t="str">
        <f t="shared" si="37"/>
        <v/>
      </c>
      <c r="E474" s="84"/>
      <c r="F474" s="122" t="str">
        <f t="shared" si="38"/>
        <v/>
      </c>
      <c r="G474" s="117"/>
      <c r="H474" s="117"/>
      <c r="I474" s="117"/>
      <c r="J474" s="84"/>
      <c r="L474" s="75" t="str">
        <f t="shared" si="39"/>
        <v/>
      </c>
      <c r="M474" s="75" t="str">
        <f t="shared" si="40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6"/>
        <v/>
      </c>
      <c r="D475" s="72" t="str">
        <f t="shared" si="37"/>
        <v/>
      </c>
      <c r="E475" s="84"/>
      <c r="F475" s="122" t="str">
        <f t="shared" si="38"/>
        <v/>
      </c>
      <c r="G475" s="117"/>
      <c r="H475" s="117"/>
      <c r="I475" s="117"/>
      <c r="J475" s="84"/>
      <c r="L475" s="75" t="str">
        <f t="shared" si="39"/>
        <v/>
      </c>
      <c r="M475" s="75" t="str">
        <f t="shared" si="40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6"/>
        <v/>
      </c>
      <c r="D476" s="72" t="str">
        <f t="shared" si="37"/>
        <v/>
      </c>
      <c r="E476" s="84"/>
      <c r="F476" s="122" t="str">
        <f t="shared" si="38"/>
        <v/>
      </c>
      <c r="G476" s="117"/>
      <c r="H476" s="117"/>
      <c r="I476" s="117"/>
      <c r="J476" s="84"/>
      <c r="L476" s="75" t="str">
        <f t="shared" si="39"/>
        <v/>
      </c>
      <c r="M476" s="75" t="str">
        <f t="shared" si="40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6"/>
        <v/>
      </c>
      <c r="D477" s="72" t="str">
        <f t="shared" si="37"/>
        <v/>
      </c>
      <c r="E477" s="84"/>
      <c r="F477" s="122" t="str">
        <f t="shared" si="38"/>
        <v/>
      </c>
      <c r="G477" s="117"/>
      <c r="H477" s="117"/>
      <c r="I477" s="117"/>
      <c r="J477" s="84"/>
      <c r="L477" s="75" t="str">
        <f t="shared" si="39"/>
        <v/>
      </c>
      <c r="M477" s="75" t="str">
        <f t="shared" si="40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6"/>
        <v/>
      </c>
      <c r="D478" s="72" t="str">
        <f t="shared" si="37"/>
        <v/>
      </c>
      <c r="E478" s="84"/>
      <c r="F478" s="122" t="str">
        <f t="shared" si="38"/>
        <v/>
      </c>
      <c r="G478" s="117"/>
      <c r="H478" s="117"/>
      <c r="I478" s="117"/>
      <c r="J478" s="84"/>
      <c r="L478" s="75" t="str">
        <f t="shared" si="39"/>
        <v/>
      </c>
      <c r="M478" s="75" t="str">
        <f t="shared" si="40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6"/>
        <v/>
      </c>
      <c r="D479" s="72" t="str">
        <f t="shared" si="37"/>
        <v/>
      </c>
      <c r="E479" s="84"/>
      <c r="F479" s="122" t="str">
        <f t="shared" si="38"/>
        <v/>
      </c>
      <c r="G479" s="117"/>
      <c r="H479" s="117"/>
      <c r="I479" s="117"/>
      <c r="J479" s="84"/>
      <c r="L479" s="75" t="str">
        <f t="shared" si="39"/>
        <v/>
      </c>
      <c r="M479" s="75" t="str">
        <f t="shared" si="40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6"/>
        <v/>
      </c>
      <c r="D480" s="72" t="str">
        <f t="shared" si="37"/>
        <v/>
      </c>
      <c r="E480" s="84"/>
      <c r="F480" s="122" t="str">
        <f t="shared" si="38"/>
        <v/>
      </c>
      <c r="G480" s="117"/>
      <c r="H480" s="117"/>
      <c r="I480" s="117"/>
      <c r="J480" s="84"/>
      <c r="L480" s="75" t="str">
        <f t="shared" si="39"/>
        <v/>
      </c>
      <c r="M480" s="75" t="str">
        <f t="shared" si="40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6"/>
        <v/>
      </c>
      <c r="D481" s="72" t="str">
        <f t="shared" si="37"/>
        <v/>
      </c>
      <c r="E481" s="84"/>
      <c r="F481" s="122" t="str">
        <f t="shared" si="38"/>
        <v/>
      </c>
      <c r="G481" s="117"/>
      <c r="H481" s="117"/>
      <c r="I481" s="117"/>
      <c r="J481" s="84"/>
      <c r="L481" s="75" t="str">
        <f t="shared" si="39"/>
        <v/>
      </c>
      <c r="M481" s="75" t="str">
        <f t="shared" si="40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6"/>
        <v/>
      </c>
      <c r="D482" s="72" t="str">
        <f t="shared" si="37"/>
        <v/>
      </c>
      <c r="E482" s="84"/>
      <c r="F482" s="122" t="str">
        <f t="shared" si="38"/>
        <v/>
      </c>
      <c r="G482" s="117"/>
      <c r="H482" s="117"/>
      <c r="I482" s="117"/>
      <c r="J482" s="84"/>
      <c r="L482" s="75" t="str">
        <f t="shared" si="39"/>
        <v/>
      </c>
      <c r="M482" s="75" t="str">
        <f t="shared" si="40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6"/>
        <v/>
      </c>
      <c r="D483" s="72" t="str">
        <f t="shared" si="37"/>
        <v/>
      </c>
      <c r="E483" s="84"/>
      <c r="F483" s="122" t="str">
        <f t="shared" si="38"/>
        <v/>
      </c>
      <c r="G483" s="117"/>
      <c r="H483" s="117"/>
      <c r="I483" s="117"/>
      <c r="J483" s="84"/>
      <c r="L483" s="75" t="str">
        <f t="shared" si="39"/>
        <v/>
      </c>
      <c r="M483" s="75" t="str">
        <f t="shared" si="40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6"/>
        <v/>
      </c>
      <c r="D484" s="72" t="str">
        <f t="shared" si="37"/>
        <v/>
      </c>
      <c r="E484" s="84"/>
      <c r="F484" s="122" t="str">
        <f t="shared" si="38"/>
        <v/>
      </c>
      <c r="G484" s="117"/>
      <c r="H484" s="117"/>
      <c r="I484" s="117"/>
      <c r="J484" s="84"/>
      <c r="L484" s="75" t="str">
        <f t="shared" si="39"/>
        <v/>
      </c>
      <c r="M484" s="75" t="str">
        <f t="shared" si="40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6"/>
        <v/>
      </c>
      <c r="D485" s="72" t="str">
        <f t="shared" si="37"/>
        <v/>
      </c>
      <c r="E485" s="84"/>
      <c r="F485" s="122" t="str">
        <f t="shared" si="38"/>
        <v/>
      </c>
      <c r="G485" s="117"/>
      <c r="H485" s="117"/>
      <c r="I485" s="117"/>
      <c r="J485" s="84"/>
      <c r="L485" s="75" t="str">
        <f t="shared" si="39"/>
        <v/>
      </c>
      <c r="M485" s="75" t="str">
        <f t="shared" si="40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6"/>
        <v/>
      </c>
      <c r="D486" s="72" t="str">
        <f t="shared" si="37"/>
        <v/>
      </c>
      <c r="E486" s="84"/>
      <c r="F486" s="122" t="str">
        <f t="shared" si="38"/>
        <v/>
      </c>
      <c r="G486" s="117"/>
      <c r="H486" s="117"/>
      <c r="I486" s="117"/>
      <c r="J486" s="84"/>
      <c r="L486" s="75" t="str">
        <f t="shared" si="39"/>
        <v/>
      </c>
      <c r="M486" s="75" t="str">
        <f t="shared" si="40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6"/>
        <v/>
      </c>
      <c r="D487" s="72" t="str">
        <f t="shared" si="37"/>
        <v/>
      </c>
      <c r="E487" s="84"/>
      <c r="F487" s="122" t="str">
        <f t="shared" si="38"/>
        <v/>
      </c>
      <c r="G487" s="117"/>
      <c r="H487" s="117"/>
      <c r="I487" s="117"/>
      <c r="J487" s="84"/>
      <c r="L487" s="75" t="str">
        <f t="shared" si="39"/>
        <v/>
      </c>
      <c r="M487" s="75" t="str">
        <f t="shared" si="40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6"/>
        <v/>
      </c>
      <c r="D488" s="72" t="str">
        <f t="shared" si="37"/>
        <v/>
      </c>
      <c r="E488" s="84"/>
      <c r="F488" s="122" t="str">
        <f t="shared" si="38"/>
        <v/>
      </c>
      <c r="G488" s="117"/>
      <c r="H488" s="117"/>
      <c r="I488" s="117"/>
      <c r="J488" s="84"/>
      <c r="L488" s="75" t="str">
        <f t="shared" si="39"/>
        <v/>
      </c>
      <c r="M488" s="75" t="str">
        <f t="shared" si="40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6"/>
        <v/>
      </c>
      <c r="D489" s="72" t="str">
        <f t="shared" si="37"/>
        <v/>
      </c>
      <c r="E489" s="84"/>
      <c r="F489" s="122" t="str">
        <f t="shared" si="38"/>
        <v/>
      </c>
      <c r="G489" s="117"/>
      <c r="H489" s="117"/>
      <c r="I489" s="117"/>
      <c r="J489" s="84"/>
      <c r="L489" s="75" t="str">
        <f t="shared" si="39"/>
        <v/>
      </c>
      <c r="M489" s="75" t="str">
        <f t="shared" si="40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6"/>
        <v/>
      </c>
      <c r="D490" s="72" t="str">
        <f t="shared" si="37"/>
        <v/>
      </c>
      <c r="E490" s="84"/>
      <c r="F490" s="122" t="str">
        <f t="shared" si="38"/>
        <v/>
      </c>
      <c r="G490" s="117"/>
      <c r="H490" s="117"/>
      <c r="I490" s="117"/>
      <c r="J490" s="84"/>
      <c r="L490" s="75" t="str">
        <f t="shared" si="39"/>
        <v/>
      </c>
      <c r="M490" s="75" t="str">
        <f t="shared" si="40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6"/>
        <v/>
      </c>
      <c r="D491" s="72" t="str">
        <f t="shared" si="37"/>
        <v/>
      </c>
      <c r="E491" s="84"/>
      <c r="F491" s="122" t="str">
        <f t="shared" si="38"/>
        <v/>
      </c>
      <c r="G491" s="117"/>
      <c r="H491" s="117"/>
      <c r="I491" s="117"/>
      <c r="J491" s="84"/>
      <c r="L491" s="75" t="str">
        <f t="shared" si="39"/>
        <v/>
      </c>
      <c r="M491" s="75" t="str">
        <f t="shared" si="40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6"/>
        <v/>
      </c>
      <c r="D492" s="72" t="str">
        <f t="shared" si="37"/>
        <v/>
      </c>
      <c r="E492" s="84"/>
      <c r="F492" s="122" t="str">
        <f t="shared" si="38"/>
        <v/>
      </c>
      <c r="G492" s="117"/>
      <c r="H492" s="117"/>
      <c r="I492" s="117"/>
      <c r="J492" s="84"/>
      <c r="L492" s="75" t="str">
        <f t="shared" si="39"/>
        <v/>
      </c>
      <c r="M492" s="75" t="str">
        <f t="shared" si="40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6"/>
        <v/>
      </c>
      <c r="D493" s="72" t="str">
        <f t="shared" si="37"/>
        <v/>
      </c>
      <c r="E493" s="84"/>
      <c r="F493" s="122" t="str">
        <f t="shared" si="38"/>
        <v/>
      </c>
      <c r="G493" s="117"/>
      <c r="H493" s="117"/>
      <c r="I493" s="117"/>
      <c r="J493" s="84"/>
      <c r="L493" s="75" t="str">
        <f t="shared" si="39"/>
        <v/>
      </c>
      <c r="M493" s="75" t="str">
        <f t="shared" si="40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6"/>
        <v/>
      </c>
      <c r="D494" s="72" t="str">
        <f t="shared" si="37"/>
        <v/>
      </c>
      <c r="E494" s="84"/>
      <c r="F494" s="122" t="str">
        <f t="shared" si="38"/>
        <v/>
      </c>
      <c r="G494" s="117"/>
      <c r="H494" s="117"/>
      <c r="I494" s="117"/>
      <c r="J494" s="84"/>
      <c r="L494" s="75" t="str">
        <f t="shared" si="39"/>
        <v/>
      </c>
      <c r="M494" s="75" t="str">
        <f t="shared" si="40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6"/>
        <v/>
      </c>
      <c r="D495" s="72" t="str">
        <f t="shared" si="37"/>
        <v/>
      </c>
      <c r="E495" s="84"/>
      <c r="F495" s="122" t="str">
        <f t="shared" si="38"/>
        <v/>
      </c>
      <c r="G495" s="117"/>
      <c r="H495" s="117"/>
      <c r="I495" s="117"/>
      <c r="J495" s="84"/>
      <c r="L495" s="75" t="str">
        <f t="shared" si="39"/>
        <v/>
      </c>
      <c r="M495" s="75" t="str">
        <f t="shared" si="40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6"/>
        <v/>
      </c>
      <c r="D496" s="72" t="str">
        <f t="shared" si="37"/>
        <v/>
      </c>
      <c r="E496" s="84"/>
      <c r="F496" s="122" t="str">
        <f t="shared" si="38"/>
        <v/>
      </c>
      <c r="G496" s="117"/>
      <c r="H496" s="117"/>
      <c r="I496" s="117"/>
      <c r="J496" s="84"/>
      <c r="L496" s="75" t="str">
        <f t="shared" si="39"/>
        <v/>
      </c>
      <c r="M496" s="75" t="str">
        <f t="shared" si="40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6"/>
        <v/>
      </c>
      <c r="D497" s="72" t="str">
        <f t="shared" si="37"/>
        <v/>
      </c>
      <c r="E497" s="84"/>
      <c r="F497" s="122" t="str">
        <f t="shared" si="38"/>
        <v/>
      </c>
      <c r="G497" s="117"/>
      <c r="H497" s="117"/>
      <c r="I497" s="117"/>
      <c r="J497" s="84"/>
      <c r="L497" s="75" t="str">
        <f t="shared" si="39"/>
        <v/>
      </c>
      <c r="M497" s="75" t="str">
        <f t="shared" si="40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6"/>
        <v/>
      </c>
      <c r="D498" s="72" t="str">
        <f t="shared" si="37"/>
        <v/>
      </c>
      <c r="E498" s="84"/>
      <c r="F498" s="122" t="str">
        <f t="shared" si="38"/>
        <v/>
      </c>
      <c r="G498" s="117"/>
      <c r="H498" s="117"/>
      <c r="I498" s="117"/>
      <c r="J498" s="84"/>
      <c r="L498" s="75" t="str">
        <f t="shared" si="39"/>
        <v/>
      </c>
      <c r="M498" s="75" t="str">
        <f t="shared" si="40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6"/>
        <v/>
      </c>
      <c r="D499" s="72" t="str">
        <f t="shared" si="37"/>
        <v/>
      </c>
      <c r="E499" s="84"/>
      <c r="F499" s="122" t="str">
        <f t="shared" si="38"/>
        <v/>
      </c>
      <c r="G499" s="117"/>
      <c r="H499" s="117"/>
      <c r="I499" s="117"/>
      <c r="J499" s="84"/>
      <c r="L499" s="75" t="str">
        <f t="shared" si="39"/>
        <v/>
      </c>
      <c r="M499" s="75" t="str">
        <f t="shared" si="40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6"/>
        <v/>
      </c>
      <c r="D500" s="72" t="str">
        <f t="shared" si="37"/>
        <v/>
      </c>
      <c r="E500" s="84"/>
      <c r="F500" s="122" t="str">
        <f t="shared" si="38"/>
        <v/>
      </c>
      <c r="G500" s="117"/>
      <c r="H500" s="117"/>
      <c r="I500" s="117"/>
      <c r="J500" s="84"/>
      <c r="L500" s="75" t="str">
        <f t="shared" si="39"/>
        <v/>
      </c>
      <c r="M500" s="75" t="str">
        <f t="shared" si="40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6"/>
        <v/>
      </c>
      <c r="D501" s="72" t="str">
        <f t="shared" si="37"/>
        <v/>
      </c>
      <c r="E501" s="84"/>
      <c r="F501" s="122" t="str">
        <f t="shared" si="38"/>
        <v/>
      </c>
      <c r="G501" s="117"/>
      <c r="H501" s="117"/>
      <c r="I501" s="117"/>
      <c r="J501" s="84"/>
      <c r="L501" s="75" t="str">
        <f t="shared" si="39"/>
        <v/>
      </c>
      <c r="M501" s="75" t="str">
        <f t="shared" si="40"/>
        <v/>
      </c>
    </row>
    <row r="502" spans="1:13">
      <c r="A502" s="337" t="str">
        <f>IF(E502="","",VLOOKUP('OPĆI DIO'!$C$3,'OPĆI DIO'!$L$6:$U$138,10,FALSE))</f>
        <v/>
      </c>
      <c r="B502" s="73" t="str">
        <f>IF(E502="","",VLOOKUP('OPĆI DIO'!$C$3,'OPĆI DIO'!$L$6:$U$138,9,FALSE))</f>
        <v/>
      </c>
      <c r="C502" s="119" t="str">
        <f t="shared" si="36"/>
        <v/>
      </c>
      <c r="D502" s="72" t="str">
        <f t="shared" si="37"/>
        <v/>
      </c>
      <c r="E502" s="84"/>
      <c r="F502" s="122" t="str">
        <f t="shared" si="38"/>
        <v/>
      </c>
      <c r="G502" s="117"/>
      <c r="H502" s="117"/>
      <c r="I502" s="117"/>
      <c r="J502" s="84"/>
      <c r="L502" s="75" t="str">
        <f t="shared" si="39"/>
        <v/>
      </c>
      <c r="M502" s="75" t="str">
        <f t="shared" si="40"/>
        <v/>
      </c>
    </row>
    <row r="503" spans="1:13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</sheetData>
  <sheetProtection selectLockedCells="1"/>
  <autoFilter ref="R5:V122" xr:uid="{00000000-0009-0000-0000-000001000000}"/>
  <sortState ref="R9:V106">
    <sortCondition ref="R9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500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G502 I3:I502 H18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2" xr:uid="{00000000-0002-0000-0100-000001000000}">
      <formula1>$R$6:$R$114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30"/>
  <sheetViews>
    <sheetView showGridLines="0" zoomScale="93" zoomScaleNormal="93" workbookViewId="0">
      <pane ySplit="2" topLeftCell="A3" activePane="bottomLeft" state="frozen"/>
      <selection pane="bottomLeft" activeCell="L11" sqref="L11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1" t="s">
        <v>5253</v>
      </c>
      <c r="B1" s="371"/>
      <c r="C1" s="371"/>
      <c r="D1" s="371"/>
      <c r="E1" s="121" t="str">
        <f>IF(OR('OPĆI DIO'!C3="odaberite -",'OPĆI DIO'!C3=""),"Molimo odaberite proračunskog korisnika na radnom listu Opći podaci!","")</f>
        <v>Molimo odaberite proračunskog korisnika na radnom listu Opći podaci!</v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5265</v>
      </c>
      <c r="K2" s="330" t="s">
        <v>5266</v>
      </c>
      <c r="L2" s="330" t="s">
        <v>5267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e">
        <f>IF(C3="","",VLOOKUP('OPĆI DIO'!$C$3,'OPĆI DIO'!$L$6:$U$138,10,FALSE))</f>
        <v>#N/A</v>
      </c>
      <c r="B3" s="79" t="e">
        <f>IF(C3="","",VLOOKUP('OPĆI DIO'!$C$3,'OPĆI DIO'!$L$6:$U$138,9,FALSE))</f>
        <v>#N/A</v>
      </c>
      <c r="C3" s="85">
        <v>11</v>
      </c>
      <c r="D3" s="80" t="str">
        <f t="shared" ref="D3:D66" si="0">IFERROR(VLOOKUP(C3,$S$6:$T$25,2,FALSE),"")</f>
        <v>Opći prihodi i primici</v>
      </c>
      <c r="E3" s="85">
        <v>3111</v>
      </c>
      <c r="F3" s="80" t="str">
        <f t="shared" ref="F3:F66" si="1">IFERROR(VLOOKUP(E3,$V$5:$X$152,2,FALSE),"")</f>
        <v>Plaće za redovan rad</v>
      </c>
      <c r="G3" s="118" t="s">
        <v>61</v>
      </c>
      <c r="H3" s="80" t="str">
        <f t="shared" ref="H3:H66" si="2">IFERROR(VLOOKUP(G3,$AB$6:$AC$350,2,FALSE),"")</f>
        <v>REDOVNA DJELATNOST SVEUČILIŠTA U OSIJEKU</v>
      </c>
      <c r="I3" s="80" t="str">
        <f t="shared" ref="I3:I66" si="3">IFERROR(VLOOKUP(G3,$AB$6:$AF$350,3,FALSE),"")</f>
        <v>0942</v>
      </c>
      <c r="J3" s="117">
        <v>479873</v>
      </c>
      <c r="K3" s="117">
        <f t="shared" ref="K3:K34" si="4">L3-J3</f>
        <v>-19873</v>
      </c>
      <c r="L3" s="117">
        <v>460000</v>
      </c>
      <c r="M3" s="84"/>
      <c r="O3" s="75" t="str">
        <f t="shared" ref="O3:O66" si="5">LEFT(E3,3)</f>
        <v>311</v>
      </c>
      <c r="P3" s="75" t="str">
        <f t="shared" ref="P3:P66" si="6">LEFT(E3,2)</f>
        <v>31</v>
      </c>
      <c r="Q3" s="75" t="str">
        <f t="shared" ref="Q3:Q66" si="7">LEFT(C3,3)</f>
        <v>11</v>
      </c>
      <c r="R3" s="75" t="str">
        <f t="shared" ref="R3:R9" si="8">MID(I3,2,2)</f>
        <v>94</v>
      </c>
    </row>
    <row r="4" spans="1:33">
      <c r="A4" s="79" t="e">
        <f>IF(C4="","",VLOOKUP('OPĆI DIO'!$C$3,'OPĆI DIO'!$L$6:$U$138,10,FALSE))</f>
        <v>#N/A</v>
      </c>
      <c r="B4" s="79" t="e">
        <f>IF(C4="","",VLOOKUP('OPĆI DIO'!$C$3,'OPĆI DIO'!$L$6:$U$138,9,FALSE))</f>
        <v>#N/A</v>
      </c>
      <c r="C4" s="85">
        <v>11</v>
      </c>
      <c r="D4" s="80" t="str">
        <f t="shared" si="0"/>
        <v>Opći prihodi i primici</v>
      </c>
      <c r="E4" s="85">
        <v>3132</v>
      </c>
      <c r="F4" s="80" t="str">
        <f t="shared" si="1"/>
        <v>Doprinosi za obvezno zdravstveno osiguranje</v>
      </c>
      <c r="G4" s="118" t="s">
        <v>61</v>
      </c>
      <c r="H4" s="80" t="str">
        <f t="shared" si="2"/>
        <v>REDOVNA DJELATNOST SVEUČILIŠTA U OSIJEKU</v>
      </c>
      <c r="I4" s="80" t="str">
        <f t="shared" si="3"/>
        <v>0942</v>
      </c>
      <c r="J4" s="117">
        <v>78137</v>
      </c>
      <c r="K4" s="117">
        <f t="shared" si="4"/>
        <v>12349</v>
      </c>
      <c r="L4" s="117">
        <v>90486</v>
      </c>
      <c r="M4" s="84"/>
      <c r="O4" s="75" t="str">
        <f t="shared" si="5"/>
        <v>313</v>
      </c>
      <c r="P4" s="75" t="str">
        <f t="shared" si="6"/>
        <v>31</v>
      </c>
      <c r="Q4" s="75" t="str">
        <f t="shared" si="7"/>
        <v>11</v>
      </c>
      <c r="R4" s="75" t="str">
        <f t="shared" si="8"/>
        <v>94</v>
      </c>
      <c r="V4" s="81"/>
      <c r="W4" s="81"/>
    </row>
    <row r="5" spans="1:33">
      <c r="A5" s="79" t="e">
        <f>IF(C5="","",VLOOKUP('OPĆI DIO'!$C$3,'OPĆI DIO'!$L$6:$U$138,10,FALSE))</f>
        <v>#N/A</v>
      </c>
      <c r="B5" s="79" t="e">
        <f>IF(C5="","",VLOOKUP('OPĆI DIO'!$C$3,'OPĆI DIO'!$L$6:$U$138,9,FALSE))</f>
        <v>#N/A</v>
      </c>
      <c r="C5" s="85">
        <v>11</v>
      </c>
      <c r="D5" s="80" t="str">
        <f t="shared" si="0"/>
        <v>Opći prihodi i primici</v>
      </c>
      <c r="E5" s="85">
        <v>3121</v>
      </c>
      <c r="F5" s="80" t="str">
        <f t="shared" si="1"/>
        <v>Ostali rashodi za zaposlene</v>
      </c>
      <c r="G5" s="118" t="s">
        <v>61</v>
      </c>
      <c r="H5" s="80" t="str">
        <f t="shared" si="2"/>
        <v>REDOVNA DJELATNOST SVEUČILIŠTA U OSIJEKU</v>
      </c>
      <c r="I5" s="80" t="str">
        <f t="shared" si="3"/>
        <v>0942</v>
      </c>
      <c r="J5" s="117">
        <v>9107</v>
      </c>
      <c r="K5" s="117">
        <f t="shared" si="4"/>
        <v>13973</v>
      </c>
      <c r="L5" s="117">
        <v>23080</v>
      </c>
      <c r="M5" s="84"/>
      <c r="O5" s="75" t="str">
        <f t="shared" si="5"/>
        <v>312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e">
        <f>IF(C6="","",VLOOKUP('OPĆI DIO'!$C$3,'OPĆI DIO'!$L$6:$U$138,10,FALSE))</f>
        <v>#N/A</v>
      </c>
      <c r="B6" s="79" t="e">
        <f>IF(C6="","",VLOOKUP('OPĆI DIO'!$C$3,'OPĆI DIO'!$L$6:$U$138,9,FALSE))</f>
        <v>#N/A</v>
      </c>
      <c r="C6" s="85">
        <v>11</v>
      </c>
      <c r="D6" s="80" t="str">
        <f t="shared" si="0"/>
        <v>Opći prihodi i primici</v>
      </c>
      <c r="E6" s="85">
        <v>3236</v>
      </c>
      <c r="F6" s="80" t="str">
        <f t="shared" si="1"/>
        <v>Zdravstvene i veterinarske usluge</v>
      </c>
      <c r="G6" s="118" t="s">
        <v>61</v>
      </c>
      <c r="H6" s="80" t="str">
        <f t="shared" si="2"/>
        <v>REDOVNA DJELATNOST SVEUČILIŠTA U OSIJEKU</v>
      </c>
      <c r="I6" s="80" t="str">
        <f t="shared" si="3"/>
        <v>0942</v>
      </c>
      <c r="J6" s="117">
        <v>1460</v>
      </c>
      <c r="K6" s="117">
        <f t="shared" si="4"/>
        <v>6025</v>
      </c>
      <c r="L6" s="117">
        <v>7485</v>
      </c>
      <c r="M6" s="84"/>
      <c r="O6" s="75" t="str">
        <f t="shared" si="5"/>
        <v>323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e">
        <f>IF(C7="","",VLOOKUP('OPĆI DIO'!$C$3,'OPĆI DIO'!$L$6:$U$138,10,FALSE))</f>
        <v>#N/A</v>
      </c>
      <c r="B7" s="79" t="e">
        <f>IF(C7="","",VLOOKUP('OPĆI DIO'!$C$3,'OPĆI DIO'!$L$6:$U$138,9,FALSE))</f>
        <v>#N/A</v>
      </c>
      <c r="C7" s="85">
        <v>11</v>
      </c>
      <c r="D7" s="80" t="str">
        <f t="shared" si="0"/>
        <v>Opći prihodi i primici</v>
      </c>
      <c r="E7" s="85">
        <v>3212</v>
      </c>
      <c r="F7" s="80" t="str">
        <f t="shared" si="1"/>
        <v>Naknade za prijevoz, za rad na terenu i odvojeni život</v>
      </c>
      <c r="G7" s="118" t="s">
        <v>61</v>
      </c>
      <c r="H7" s="80" t="str">
        <f t="shared" si="2"/>
        <v>REDOVNA DJELATNOST SVEUČILIŠTA U OSIJEKU</v>
      </c>
      <c r="I7" s="80" t="str">
        <f t="shared" si="3"/>
        <v>0942</v>
      </c>
      <c r="J7" s="117">
        <v>10087</v>
      </c>
      <c r="K7" s="117">
        <f t="shared" si="4"/>
        <v>2285</v>
      </c>
      <c r="L7" s="117">
        <v>12372</v>
      </c>
      <c r="M7" s="84"/>
      <c r="O7" s="75" t="str">
        <f t="shared" si="5"/>
        <v>321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e">
        <f>IF(C8="","",VLOOKUP('OPĆI DIO'!$C$3,'OPĆI DIO'!$L$6:$U$138,10,FALSE))</f>
        <v>#N/A</v>
      </c>
      <c r="B8" s="79" t="e">
        <f>IF(C8="","",VLOOKUP('OPĆI DIO'!$C$3,'OPĆI DIO'!$L$6:$U$138,9,FALSE))</f>
        <v>#N/A</v>
      </c>
      <c r="C8" s="85">
        <v>11</v>
      </c>
      <c r="D8" s="80" t="str">
        <f t="shared" si="0"/>
        <v>Opći prihodi i primici</v>
      </c>
      <c r="E8" s="85">
        <v>3237</v>
      </c>
      <c r="F8" s="80" t="str">
        <f t="shared" si="1"/>
        <v>Intelektualne i osobne usluge</v>
      </c>
      <c r="G8" s="118" t="s">
        <v>674</v>
      </c>
      <c r="H8" s="80" t="str">
        <f t="shared" si="2"/>
        <v>PROGRAMI VJEŽBAONICA VISOKIH UČILIŠTA</v>
      </c>
      <c r="I8" s="80" t="str">
        <f t="shared" si="3"/>
        <v>0942</v>
      </c>
      <c r="J8" s="117">
        <v>1133</v>
      </c>
      <c r="K8" s="117">
        <f t="shared" si="4"/>
        <v>213</v>
      </c>
      <c r="L8" s="117">
        <v>1346</v>
      </c>
      <c r="M8" s="84"/>
      <c r="O8" s="75" t="str">
        <f t="shared" si="5"/>
        <v>323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e">
        <f>IF(C9="","",VLOOKUP('OPĆI DIO'!$C$3,'OPĆI DIO'!$L$6:$U$138,10,FALSE))</f>
        <v>#N/A</v>
      </c>
      <c r="B9" s="79" t="e">
        <f>IF(C9="","",VLOOKUP('OPĆI DIO'!$C$3,'OPĆI DIO'!$L$6:$U$138,9,FALSE))</f>
        <v>#N/A</v>
      </c>
      <c r="C9" s="85">
        <v>11</v>
      </c>
      <c r="D9" s="80" t="str">
        <f t="shared" si="0"/>
        <v>Opći prihodi i primici</v>
      </c>
      <c r="E9" s="85">
        <v>3211</v>
      </c>
      <c r="F9" s="80" t="str">
        <f t="shared" si="1"/>
        <v>Službena putovanja</v>
      </c>
      <c r="G9" s="118" t="s">
        <v>672</v>
      </c>
      <c r="H9" s="80" t="str">
        <f t="shared" si="2"/>
        <v>PROGRAMSKO FINANCIRANJE JAVNIH VISOKIH UČILIŠTA</v>
      </c>
      <c r="I9" s="80" t="str">
        <f t="shared" si="3"/>
        <v>0942</v>
      </c>
      <c r="J9" s="117">
        <v>6426</v>
      </c>
      <c r="K9" s="117">
        <f t="shared" si="4"/>
        <v>7896</v>
      </c>
      <c r="L9" s="117">
        <v>14322</v>
      </c>
      <c r="M9" s="84"/>
      <c r="O9" s="75" t="str">
        <f t="shared" si="5"/>
        <v>321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/>
      <c r="B10" s="79"/>
      <c r="C10" s="85">
        <v>11</v>
      </c>
      <c r="D10" s="80" t="str">
        <f t="shared" si="0"/>
        <v>Opći prihodi i primici</v>
      </c>
      <c r="E10" s="85">
        <v>3213</v>
      </c>
      <c r="F10" s="80" t="str">
        <f t="shared" si="1"/>
        <v>Stručno usavršavanje zaposlenika</v>
      </c>
      <c r="G10" s="118" t="s">
        <v>672</v>
      </c>
      <c r="H10" s="80" t="str">
        <f t="shared" si="2"/>
        <v>PROGRAMSKO FINANCIRANJE JAVNIH VISOKIH UČILIŠTA</v>
      </c>
      <c r="I10" s="80" t="str">
        <f t="shared" si="3"/>
        <v>0942</v>
      </c>
      <c r="J10" s="117"/>
      <c r="K10" s="117">
        <f t="shared" si="4"/>
        <v>1104</v>
      </c>
      <c r="L10" s="117">
        <v>1104</v>
      </c>
      <c r="M10" s="84"/>
      <c r="O10" s="75" t="str">
        <f t="shared" si="5"/>
        <v>321</v>
      </c>
      <c r="P10" s="75" t="str">
        <f t="shared" si="6"/>
        <v>32</v>
      </c>
      <c r="Q10" s="75" t="str">
        <f t="shared" si="7"/>
        <v>11</v>
      </c>
      <c r="R10" s="75" t="str">
        <f t="shared" ref="R10:R73" si="9">MID(I10,2,2)</f>
        <v>94</v>
      </c>
      <c r="S10"/>
      <c r="T10"/>
      <c r="AB10"/>
      <c r="AC10"/>
    </row>
    <row r="11" spans="1:33">
      <c r="A11" s="79" t="e">
        <f>IF(C11="","",VLOOKUP('OPĆI DIO'!$C$3,'OPĆI DIO'!$L$6:$U$138,10,FALSE))</f>
        <v>#N/A</v>
      </c>
      <c r="B11" s="79" t="e">
        <f>IF(C11="","",VLOOKUP('OPĆI DIO'!$C$3,'OPĆI DIO'!$L$6:$U$138,9,FALSE))</f>
        <v>#N/A</v>
      </c>
      <c r="C11" s="85">
        <v>11</v>
      </c>
      <c r="D11" s="80" t="str">
        <f t="shared" si="0"/>
        <v>Opći prihodi i primici</v>
      </c>
      <c r="E11" s="85">
        <v>3221</v>
      </c>
      <c r="F11" s="80" t="str">
        <f t="shared" si="1"/>
        <v>Uredski materijal i ostali materijalni rashodi</v>
      </c>
      <c r="G11" s="118" t="s">
        <v>672</v>
      </c>
      <c r="H11" s="80" t="str">
        <f t="shared" si="2"/>
        <v>PROGRAMSKO FINANCIRANJE JAVNIH VISOKIH UČILIŠTA</v>
      </c>
      <c r="I11" s="80" t="str">
        <f t="shared" si="3"/>
        <v>0942</v>
      </c>
      <c r="J11" s="117">
        <v>6333</v>
      </c>
      <c r="K11" s="117">
        <f t="shared" si="4"/>
        <v>-5282</v>
      </c>
      <c r="L11" s="117">
        <v>1051</v>
      </c>
      <c r="M11" s="84"/>
      <c r="O11" s="75" t="str">
        <f t="shared" si="5"/>
        <v>322</v>
      </c>
      <c r="P11" s="75" t="str">
        <f t="shared" si="6"/>
        <v>32</v>
      </c>
      <c r="Q11" s="75" t="str">
        <f t="shared" si="7"/>
        <v>11</v>
      </c>
      <c r="R11" s="75" t="str">
        <f t="shared" si="9"/>
        <v>94</v>
      </c>
      <c r="S11" s="75">
        <v>43</v>
      </c>
      <c r="T11" s="75" t="s">
        <v>96</v>
      </c>
      <c r="V11" s="125">
        <v>3132</v>
      </c>
      <c r="W11" s="125" t="s">
        <v>51</v>
      </c>
      <c r="X11" s="125"/>
      <c r="Y11" s="290" t="str">
        <f t="shared" ref="Y11:Y46" si="10">LEFT(V11,2)</f>
        <v>31</v>
      </c>
      <c r="Z11" s="125" t="str">
        <f t="shared" ref="Z11:Z46" si="11">LEFT(V11,3)</f>
        <v>313</v>
      </c>
      <c r="AB11" t="s">
        <v>1617</v>
      </c>
      <c r="AC11" t="s">
        <v>1618</v>
      </c>
      <c r="AD11" s="75" t="s">
        <v>5143</v>
      </c>
      <c r="AE11" s="75" t="s">
        <v>5144</v>
      </c>
      <c r="AF11" s="75" t="s">
        <v>5165</v>
      </c>
      <c r="AG11" s="75" t="s">
        <v>5175</v>
      </c>
    </row>
    <row r="12" spans="1:33">
      <c r="A12" s="79" t="e">
        <f>IF(C12="","",VLOOKUP('OPĆI DIO'!$C$3,'OPĆI DIO'!$L$6:$U$138,10,FALSE))</f>
        <v>#N/A</v>
      </c>
      <c r="B12" s="79" t="e">
        <f>IF(C12="","",VLOOKUP('OPĆI DIO'!$C$3,'OPĆI DIO'!$L$6:$U$138,9,FALSE))</f>
        <v>#N/A</v>
      </c>
      <c r="C12" s="85">
        <v>11</v>
      </c>
      <c r="D12" s="80" t="str">
        <f t="shared" si="0"/>
        <v>Opći prihodi i primici</v>
      </c>
      <c r="E12" s="85">
        <v>3223</v>
      </c>
      <c r="F12" s="80" t="str">
        <f t="shared" si="1"/>
        <v>Energija</v>
      </c>
      <c r="G12" s="118" t="s">
        <v>672</v>
      </c>
      <c r="H12" s="80" t="str">
        <f t="shared" si="2"/>
        <v>PROGRAMSKO FINANCIRANJE JAVNIH VISOKIH UČILIŠTA</v>
      </c>
      <c r="I12" s="80" t="str">
        <f t="shared" si="3"/>
        <v>0942</v>
      </c>
      <c r="J12" s="117">
        <v>24882</v>
      </c>
      <c r="K12" s="117">
        <f t="shared" si="4"/>
        <v>-11295</v>
      </c>
      <c r="L12" s="117">
        <v>13587</v>
      </c>
      <c r="M12" s="84"/>
      <c r="O12" s="75" t="str">
        <f t="shared" si="5"/>
        <v>322</v>
      </c>
      <c r="P12" s="75" t="str">
        <f t="shared" si="6"/>
        <v>32</v>
      </c>
      <c r="Q12" s="75" t="str">
        <f t="shared" si="7"/>
        <v>11</v>
      </c>
      <c r="R12" s="75" t="str">
        <f t="shared" si="9"/>
        <v>94</v>
      </c>
      <c r="S12" s="75">
        <v>51</v>
      </c>
      <c r="T12" s="75" t="s">
        <v>86</v>
      </c>
      <c r="V12" s="75">
        <v>3211</v>
      </c>
      <c r="W12" s="75" t="s">
        <v>78</v>
      </c>
      <c r="Y12" s="290" t="str">
        <f t="shared" si="10"/>
        <v>32</v>
      </c>
      <c r="Z12" s="75" t="str">
        <f t="shared" si="11"/>
        <v>321</v>
      </c>
      <c r="AB12" t="s">
        <v>1617</v>
      </c>
      <c r="AC12" t="s">
        <v>1618</v>
      </c>
      <c r="AD12" s="75" t="s">
        <v>5145</v>
      </c>
      <c r="AE12" s="75" t="s">
        <v>5146</v>
      </c>
      <c r="AF12" s="75" t="s">
        <v>5165</v>
      </c>
      <c r="AG12" s="75" t="s">
        <v>5174</v>
      </c>
    </row>
    <row r="13" spans="1:33">
      <c r="A13" s="79" t="e">
        <f>IF(C13="","",VLOOKUP('OPĆI DIO'!$C$3,'OPĆI DIO'!$L$6:$U$138,10,FALSE))</f>
        <v>#N/A</v>
      </c>
      <c r="B13" s="79" t="e">
        <f>IF(C13="","",VLOOKUP('OPĆI DIO'!$C$3,'OPĆI DIO'!$L$6:$U$138,9,FALSE))</f>
        <v>#N/A</v>
      </c>
      <c r="C13" s="85">
        <v>11</v>
      </c>
      <c r="D13" s="80" t="str">
        <f t="shared" si="0"/>
        <v>Opći prihodi i primici</v>
      </c>
      <c r="E13" s="85">
        <v>3224</v>
      </c>
      <c r="F13" s="80" t="str">
        <f t="shared" si="1"/>
        <v>Materijal i dijelovi za tekuće i investicijsko održavanje</v>
      </c>
      <c r="G13" s="118" t="s">
        <v>672</v>
      </c>
      <c r="H13" s="80" t="str">
        <f t="shared" si="2"/>
        <v>PROGRAMSKO FINANCIRANJE JAVNIH VISOKIH UČILIŠTA</v>
      </c>
      <c r="I13" s="80" t="str">
        <f t="shared" si="3"/>
        <v>0942</v>
      </c>
      <c r="J13" s="117">
        <v>3353</v>
      </c>
      <c r="K13" s="117">
        <f t="shared" si="4"/>
        <v>-2681</v>
      </c>
      <c r="L13" s="117">
        <v>672</v>
      </c>
      <c r="M13" s="84"/>
      <c r="O13" s="75" t="str">
        <f t="shared" si="5"/>
        <v>322</v>
      </c>
      <c r="P13" s="75" t="str">
        <f t="shared" si="6"/>
        <v>32</v>
      </c>
      <c r="Q13" s="75" t="str">
        <f t="shared" si="7"/>
        <v>11</v>
      </c>
      <c r="R13" s="75" t="str">
        <f t="shared" si="9"/>
        <v>94</v>
      </c>
      <c r="S13" s="75">
        <v>52</v>
      </c>
      <c r="T13" s="75" t="s">
        <v>109</v>
      </c>
      <c r="V13" s="75">
        <v>3212</v>
      </c>
      <c r="W13" s="75" t="s">
        <v>52</v>
      </c>
      <c r="Y13" s="290" t="str">
        <f t="shared" si="10"/>
        <v>32</v>
      </c>
      <c r="Z13" s="75" t="str">
        <f t="shared" si="11"/>
        <v>321</v>
      </c>
      <c r="AB13" t="s">
        <v>1619</v>
      </c>
      <c r="AC13" t="s">
        <v>1620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e">
        <f>IF(C14="","",VLOOKUP('OPĆI DIO'!$C$3,'OPĆI DIO'!$L$6:$U$138,10,FALSE))</f>
        <v>#N/A</v>
      </c>
      <c r="B14" s="79" t="e">
        <f>IF(C14="","",VLOOKUP('OPĆI DIO'!$C$3,'OPĆI DIO'!$L$6:$U$138,9,FALSE))</f>
        <v>#N/A</v>
      </c>
      <c r="C14" s="85">
        <v>11</v>
      </c>
      <c r="D14" s="80" t="str">
        <f t="shared" si="0"/>
        <v>Opći prihodi i primici</v>
      </c>
      <c r="E14" s="85">
        <v>3225</v>
      </c>
      <c r="F14" s="80" t="str">
        <f t="shared" si="1"/>
        <v>Sitni inventar i auto gume</v>
      </c>
      <c r="G14" s="118" t="s">
        <v>672</v>
      </c>
      <c r="H14" s="80" t="str">
        <f t="shared" si="2"/>
        <v>PROGRAMSKO FINANCIRANJE JAVNIH VISOKIH UČILIŠTA</v>
      </c>
      <c r="I14" s="80" t="str">
        <f t="shared" si="3"/>
        <v>0942</v>
      </c>
      <c r="J14" s="117">
        <v>2174</v>
      </c>
      <c r="K14" s="117">
        <f t="shared" si="4"/>
        <v>-674</v>
      </c>
      <c r="L14" s="117">
        <v>1500</v>
      </c>
      <c r="M14" s="84"/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9"/>
        <v>94</v>
      </c>
      <c r="S14">
        <v>552</v>
      </c>
      <c r="T14" t="s">
        <v>1209</v>
      </c>
      <c r="V14" s="75">
        <v>3213</v>
      </c>
      <c r="W14" s="75" t="s">
        <v>97</v>
      </c>
      <c r="Y14" s="290" t="str">
        <f t="shared" si="10"/>
        <v>32</v>
      </c>
      <c r="Z14" s="75" t="str">
        <f t="shared" si="11"/>
        <v>321</v>
      </c>
      <c r="AB14" t="s">
        <v>1795</v>
      </c>
      <c r="AC14" t="s">
        <v>1796</v>
      </c>
      <c r="AD14" s="75" t="s">
        <v>5143</v>
      </c>
      <c r="AE14" s="75" t="s">
        <v>5144</v>
      </c>
      <c r="AF14" s="75" t="s">
        <v>5165</v>
      </c>
      <c r="AG14" s="75" t="s">
        <v>5175</v>
      </c>
    </row>
    <row r="15" spans="1:33">
      <c r="A15" s="79" t="e">
        <f>IF(C15="","",VLOOKUP('OPĆI DIO'!$C$3,'OPĆI DIO'!$L$6:$U$138,10,FALSE))</f>
        <v>#N/A</v>
      </c>
      <c r="B15" s="79" t="e">
        <f>IF(C15="","",VLOOKUP('OPĆI DIO'!$C$3,'OPĆI DIO'!$L$6:$U$138,9,FALSE))</f>
        <v>#N/A</v>
      </c>
      <c r="C15" s="85">
        <v>11</v>
      </c>
      <c r="D15" s="80" t="str">
        <f t="shared" si="0"/>
        <v>Opći prihodi i primici</v>
      </c>
      <c r="E15" s="85">
        <v>3227</v>
      </c>
      <c r="F15" s="80" t="str">
        <f t="shared" si="1"/>
        <v>Službena, radna i zaštitna odjeća i obuća</v>
      </c>
      <c r="G15" s="118" t="s">
        <v>672</v>
      </c>
      <c r="H15" s="80" t="str">
        <f t="shared" si="2"/>
        <v>PROGRAMSKO FINANCIRANJE JAVNIH VISOKIH UČILIŠTA</v>
      </c>
      <c r="I15" s="80" t="str">
        <f t="shared" si="3"/>
        <v>0942</v>
      </c>
      <c r="J15" s="117">
        <v>730</v>
      </c>
      <c r="K15" s="117">
        <f t="shared" si="4"/>
        <v>-353</v>
      </c>
      <c r="L15" s="117">
        <v>377</v>
      </c>
      <c r="M15" s="84"/>
      <c r="O15" s="75" t="str">
        <f t="shared" si="5"/>
        <v>322</v>
      </c>
      <c r="P15" s="75" t="str">
        <f t="shared" si="6"/>
        <v>32</v>
      </c>
      <c r="Q15" s="75" t="str">
        <f t="shared" si="7"/>
        <v>11</v>
      </c>
      <c r="R15" s="75" t="str">
        <f t="shared" si="9"/>
        <v>94</v>
      </c>
      <c r="S15">
        <v>559</v>
      </c>
      <c r="T15" t="s">
        <v>1210</v>
      </c>
      <c r="V15" s="75">
        <v>3214</v>
      </c>
      <c r="W15" s="75" t="s">
        <v>126</v>
      </c>
      <c r="Y15" s="290" t="str">
        <f t="shared" si="10"/>
        <v>32</v>
      </c>
      <c r="Z15" s="75" t="str">
        <f t="shared" si="11"/>
        <v>321</v>
      </c>
      <c r="AB15" t="s">
        <v>1797</v>
      </c>
      <c r="AC15" t="s">
        <v>1798</v>
      </c>
      <c r="AD15" s="75" t="s">
        <v>5147</v>
      </c>
      <c r="AE15" s="75" t="s">
        <v>5148</v>
      </c>
      <c r="AF15" s="75" t="s">
        <v>5165</v>
      </c>
      <c r="AG15" s="75" t="s">
        <v>5173</v>
      </c>
    </row>
    <row r="16" spans="1:33">
      <c r="A16" s="79" t="e">
        <f>IF(C16="","",VLOOKUP('OPĆI DIO'!$C$3,'OPĆI DIO'!$L$6:$U$138,10,FALSE))</f>
        <v>#N/A</v>
      </c>
      <c r="B16" s="79" t="e">
        <f>IF(C16="","",VLOOKUP('OPĆI DIO'!$C$3,'OPĆI DIO'!$L$6:$U$138,9,FALSE))</f>
        <v>#N/A</v>
      </c>
      <c r="C16" s="85">
        <v>11</v>
      </c>
      <c r="D16" s="80" t="str">
        <f t="shared" si="0"/>
        <v>Opći prihodi i primici</v>
      </c>
      <c r="E16" s="85">
        <v>3231</v>
      </c>
      <c r="F16" s="80" t="str">
        <f t="shared" si="1"/>
        <v>Usluge telefona, pošte i prijevoza</v>
      </c>
      <c r="G16" s="118" t="s">
        <v>672</v>
      </c>
      <c r="H16" s="80" t="str">
        <f t="shared" si="2"/>
        <v>PROGRAMSKO FINANCIRANJE JAVNIH VISOKIH UČILIŠTA</v>
      </c>
      <c r="I16" s="80" t="str">
        <f t="shared" si="3"/>
        <v>0942</v>
      </c>
      <c r="J16" s="117">
        <v>3152</v>
      </c>
      <c r="K16" s="117">
        <f t="shared" si="4"/>
        <v>1798</v>
      </c>
      <c r="L16" s="117">
        <v>4950</v>
      </c>
      <c r="M16" s="84"/>
      <c r="O16" s="75" t="str">
        <f t="shared" si="5"/>
        <v>323</v>
      </c>
      <c r="P16" s="75" t="str">
        <f t="shared" si="6"/>
        <v>32</v>
      </c>
      <c r="Q16" s="75" t="str">
        <f t="shared" si="7"/>
        <v>11</v>
      </c>
      <c r="R16" s="75" t="str">
        <f t="shared" si="9"/>
        <v>94</v>
      </c>
      <c r="S16" s="75">
        <v>561</v>
      </c>
      <c r="T16" s="75" t="s">
        <v>111</v>
      </c>
      <c r="V16" s="75">
        <v>3221</v>
      </c>
      <c r="W16" s="75" t="s">
        <v>79</v>
      </c>
      <c r="Y16" s="290" t="str">
        <f t="shared" si="10"/>
        <v>32</v>
      </c>
      <c r="Z16" s="75" t="str">
        <f t="shared" si="11"/>
        <v>322</v>
      </c>
      <c r="AB16" t="s">
        <v>1799</v>
      </c>
      <c r="AC16" t="s">
        <v>1800</v>
      </c>
      <c r="AD16" s="75" t="s">
        <v>5139</v>
      </c>
      <c r="AE16" s="75" t="s">
        <v>5140</v>
      </c>
      <c r="AF16" s="75" t="s">
        <v>5165</v>
      </c>
      <c r="AG16" s="75" t="s">
        <v>5172</v>
      </c>
    </row>
    <row r="17" spans="1:33">
      <c r="A17" s="79" t="e">
        <f>IF(C17="","",VLOOKUP('OPĆI DIO'!$C$3,'OPĆI DIO'!$L$6:$U$138,10,FALSE))</f>
        <v>#N/A</v>
      </c>
      <c r="B17" s="79" t="e">
        <f>IF(C17="","",VLOOKUP('OPĆI DIO'!$C$3,'OPĆI DIO'!$L$6:$U$138,9,FALSE))</f>
        <v>#N/A</v>
      </c>
      <c r="C17" s="85">
        <v>11</v>
      </c>
      <c r="D17" s="80" t="str">
        <f t="shared" si="0"/>
        <v>Opći prihodi i primici</v>
      </c>
      <c r="E17" s="85">
        <v>3232</v>
      </c>
      <c r="F17" s="80" t="str">
        <f t="shared" si="1"/>
        <v>Usluge tekućeg i investicijskog održavanja</v>
      </c>
      <c r="G17" s="118" t="s">
        <v>672</v>
      </c>
      <c r="H17" s="80" t="str">
        <f t="shared" si="2"/>
        <v>PROGRAMSKO FINANCIRANJE JAVNIH VISOKIH UČILIŠTA</v>
      </c>
      <c r="I17" s="80" t="str">
        <f t="shared" si="3"/>
        <v>0942</v>
      </c>
      <c r="J17" s="117">
        <v>2421</v>
      </c>
      <c r="K17" s="117">
        <f t="shared" si="4"/>
        <v>79</v>
      </c>
      <c r="L17" s="117">
        <v>2500</v>
      </c>
      <c r="M17" s="84"/>
      <c r="O17" s="75" t="str">
        <f t="shared" si="5"/>
        <v>323</v>
      </c>
      <c r="P17" s="75" t="str">
        <f t="shared" si="6"/>
        <v>32</v>
      </c>
      <c r="Q17" s="75" t="str">
        <f t="shared" si="7"/>
        <v>11</v>
      </c>
      <c r="R17" s="75" t="str">
        <f t="shared" si="9"/>
        <v>94</v>
      </c>
      <c r="S17" s="75">
        <v>563</v>
      </c>
      <c r="T17" s="75" t="s">
        <v>113</v>
      </c>
      <c r="V17" s="75">
        <v>3222</v>
      </c>
      <c r="W17" s="75" t="s">
        <v>100</v>
      </c>
      <c r="Y17" s="290" t="str">
        <f t="shared" si="10"/>
        <v>32</v>
      </c>
      <c r="Z17" s="75" t="str">
        <f t="shared" si="11"/>
        <v>322</v>
      </c>
      <c r="AB17" t="s">
        <v>944</v>
      </c>
      <c r="AC17" t="s">
        <v>945</v>
      </c>
      <c r="AD17" s="75" t="s">
        <v>5149</v>
      </c>
      <c r="AE17" s="75" t="s">
        <v>5150</v>
      </c>
      <c r="AF17" s="75" t="s">
        <v>5166</v>
      </c>
      <c r="AG17" s="75" t="s">
        <v>5171</v>
      </c>
    </row>
    <row r="18" spans="1:33">
      <c r="A18" s="79" t="e">
        <f>IF(C18="","",VLOOKUP('OPĆI DIO'!$C$3,'OPĆI DIO'!$L$6:$U$138,10,FALSE))</f>
        <v>#N/A</v>
      </c>
      <c r="B18" s="79" t="e">
        <f>IF(C18="","",VLOOKUP('OPĆI DIO'!$C$3,'OPĆI DIO'!$L$6:$U$138,9,FALSE))</f>
        <v>#N/A</v>
      </c>
      <c r="C18" s="85">
        <v>11</v>
      </c>
      <c r="D18" s="80" t="str">
        <f t="shared" si="0"/>
        <v>Opći prihodi i primici</v>
      </c>
      <c r="E18" s="85">
        <v>3233</v>
      </c>
      <c r="F18" s="80" t="str">
        <f t="shared" si="1"/>
        <v>Usluge promidžbe i informiranja</v>
      </c>
      <c r="G18" s="118" t="s">
        <v>672</v>
      </c>
      <c r="H18" s="80" t="str">
        <f t="shared" si="2"/>
        <v>PROGRAMSKO FINANCIRANJE JAVNIH VISOKIH UČILIŠTA</v>
      </c>
      <c r="I18" s="80" t="str">
        <f t="shared" si="3"/>
        <v>0942</v>
      </c>
      <c r="J18" s="117">
        <v>5168</v>
      </c>
      <c r="K18" s="117">
        <f t="shared" si="4"/>
        <v>-4968</v>
      </c>
      <c r="L18" s="117">
        <v>200</v>
      </c>
      <c r="M18" s="84"/>
      <c r="O18" s="75" t="str">
        <f t="shared" si="5"/>
        <v>323</v>
      </c>
      <c r="P18" s="75" t="str">
        <f t="shared" si="6"/>
        <v>32</v>
      </c>
      <c r="Q18" s="75" t="str">
        <f t="shared" si="7"/>
        <v>11</v>
      </c>
      <c r="R18" s="75" t="str">
        <f t="shared" si="9"/>
        <v>94</v>
      </c>
      <c r="S18" s="75">
        <v>573</v>
      </c>
      <c r="T18" t="s">
        <v>1220</v>
      </c>
      <c r="V18" s="75">
        <v>3223</v>
      </c>
      <c r="W18" s="75" t="s">
        <v>88</v>
      </c>
      <c r="Y18" s="290" t="str">
        <f t="shared" si="10"/>
        <v>32</v>
      </c>
      <c r="Z18" s="75" t="str">
        <f t="shared" si="11"/>
        <v>322</v>
      </c>
      <c r="AB18" t="s">
        <v>1621</v>
      </c>
      <c r="AC18" t="s">
        <v>1622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e">
        <f>IF(C19="","",VLOOKUP('OPĆI DIO'!$C$3,'OPĆI DIO'!$L$6:$U$138,10,FALSE))</f>
        <v>#N/A</v>
      </c>
      <c r="B19" s="79" t="e">
        <f>IF(C19="","",VLOOKUP('OPĆI DIO'!$C$3,'OPĆI DIO'!$L$6:$U$138,9,FALSE))</f>
        <v>#N/A</v>
      </c>
      <c r="C19" s="85">
        <v>11</v>
      </c>
      <c r="D19" s="80" t="str">
        <f t="shared" si="0"/>
        <v>Opći prihodi i primici</v>
      </c>
      <c r="E19" s="85">
        <v>3234</v>
      </c>
      <c r="F19" s="80" t="str">
        <f t="shared" si="1"/>
        <v>Komunalne usluge</v>
      </c>
      <c r="G19" s="118" t="s">
        <v>672</v>
      </c>
      <c r="H19" s="80" t="str">
        <f t="shared" si="2"/>
        <v>PROGRAMSKO FINANCIRANJE JAVNIH VISOKIH UČILIŠTA</v>
      </c>
      <c r="I19" s="80" t="str">
        <f t="shared" si="3"/>
        <v>0942</v>
      </c>
      <c r="J19" s="117">
        <v>5174</v>
      </c>
      <c r="K19" s="117">
        <f t="shared" si="4"/>
        <v>-475</v>
      </c>
      <c r="L19" s="117">
        <v>4699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9"/>
        <v>94</v>
      </c>
      <c r="S19">
        <v>575</v>
      </c>
      <c r="T19" t="s">
        <v>1222</v>
      </c>
      <c r="V19" s="75">
        <v>3224</v>
      </c>
      <c r="W19" s="75" t="s">
        <v>93</v>
      </c>
      <c r="Y19" s="290" t="str">
        <f t="shared" si="10"/>
        <v>32</v>
      </c>
      <c r="Z19" s="75" t="str">
        <f t="shared" si="11"/>
        <v>322</v>
      </c>
      <c r="AB19" t="s">
        <v>946</v>
      </c>
      <c r="AC19" t="s">
        <v>947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e">
        <f>IF(C20="","",VLOOKUP('OPĆI DIO'!$C$3,'OPĆI DIO'!$L$6:$U$138,10,FALSE))</f>
        <v>#N/A</v>
      </c>
      <c r="B20" s="79" t="e">
        <f>IF(C20="","",VLOOKUP('OPĆI DIO'!$C$3,'OPĆI DIO'!$L$6:$U$138,9,FALSE))</f>
        <v>#N/A</v>
      </c>
      <c r="C20" s="85">
        <v>11</v>
      </c>
      <c r="D20" s="80" t="str">
        <f t="shared" si="0"/>
        <v>Opći prihodi i primici</v>
      </c>
      <c r="E20" s="85">
        <v>3235</v>
      </c>
      <c r="F20" s="80" t="str">
        <f t="shared" si="1"/>
        <v>Zakupnine i najamnine</v>
      </c>
      <c r="G20" s="118" t="s">
        <v>672</v>
      </c>
      <c r="H20" s="80" t="str">
        <f t="shared" si="2"/>
        <v>PROGRAMSKO FINANCIRANJE JAVNIH VISOKIH UČILIŠTA</v>
      </c>
      <c r="I20" s="80" t="str">
        <f t="shared" si="3"/>
        <v>0942</v>
      </c>
      <c r="J20" s="117">
        <v>2441</v>
      </c>
      <c r="K20" s="117">
        <f t="shared" si="4"/>
        <v>-2441</v>
      </c>
      <c r="L20" s="117"/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9"/>
        <v>94</v>
      </c>
      <c r="S20" s="222">
        <v>5761</v>
      </c>
      <c r="T20" s="142" t="s">
        <v>3528</v>
      </c>
      <c r="V20" s="75">
        <v>3225</v>
      </c>
      <c r="W20" s="75" t="s">
        <v>101</v>
      </c>
      <c r="Y20" s="290" t="str">
        <f t="shared" si="10"/>
        <v>32</v>
      </c>
      <c r="Z20" s="75" t="str">
        <f t="shared" si="11"/>
        <v>322</v>
      </c>
      <c r="AB20" t="s">
        <v>1801</v>
      </c>
      <c r="AC20" t="s">
        <v>1802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e">
        <f>IF(C21="","",VLOOKUP('OPĆI DIO'!$C$3,'OPĆI DIO'!$L$6:$U$138,10,FALSE))</f>
        <v>#N/A</v>
      </c>
      <c r="B21" s="79" t="e">
        <f>IF(C21="","",VLOOKUP('OPĆI DIO'!$C$3,'OPĆI DIO'!$L$6:$U$138,9,FALSE))</f>
        <v>#N/A</v>
      </c>
      <c r="C21" s="85">
        <v>11</v>
      </c>
      <c r="D21" s="80" t="str">
        <f t="shared" si="0"/>
        <v>Opći prihodi i primici</v>
      </c>
      <c r="E21" s="85">
        <v>3236</v>
      </c>
      <c r="F21" s="80" t="str">
        <f t="shared" si="1"/>
        <v>Zdravstvene i veterinarske usluge</v>
      </c>
      <c r="G21" s="118" t="s">
        <v>672</v>
      </c>
      <c r="H21" s="80" t="str">
        <f t="shared" si="2"/>
        <v>PROGRAMSKO FINANCIRANJE JAVNIH VISOKIH UČILIŠTA</v>
      </c>
      <c r="I21" s="80" t="str">
        <f t="shared" si="3"/>
        <v>0942</v>
      </c>
      <c r="J21" s="117">
        <v>624</v>
      </c>
      <c r="K21" s="117">
        <f t="shared" si="4"/>
        <v>-624</v>
      </c>
      <c r="L21" s="117"/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9"/>
        <v>94</v>
      </c>
      <c r="S21" s="222">
        <v>5762</v>
      </c>
      <c r="T21" s="142" t="s">
        <v>3528</v>
      </c>
      <c r="V21" s="75">
        <v>3226</v>
      </c>
      <c r="W21" s="75" t="s">
        <v>175</v>
      </c>
      <c r="Y21" s="290" t="str">
        <f t="shared" si="10"/>
        <v>32</v>
      </c>
      <c r="Z21" s="75" t="str">
        <f t="shared" si="11"/>
        <v>322</v>
      </c>
      <c r="AB21" t="s">
        <v>1623</v>
      </c>
      <c r="AC21" t="s">
        <v>1624</v>
      </c>
      <c r="AD21" s="75" t="s">
        <v>5143</v>
      </c>
      <c r="AE21" s="75" t="s">
        <v>5144</v>
      </c>
      <c r="AF21" s="75" t="s">
        <v>5165</v>
      </c>
      <c r="AG21" s="75" t="s">
        <v>5175</v>
      </c>
    </row>
    <row r="22" spans="1:33">
      <c r="A22" s="79" t="e">
        <f>IF(C22="","",VLOOKUP('OPĆI DIO'!$C$3,'OPĆI DIO'!$L$6:$U$138,10,FALSE))</f>
        <v>#N/A</v>
      </c>
      <c r="B22" s="79" t="e">
        <f>IF(C22="","",VLOOKUP('OPĆI DIO'!$C$3,'OPĆI DIO'!$L$6:$U$138,9,FALSE))</f>
        <v>#N/A</v>
      </c>
      <c r="C22" s="85">
        <v>11</v>
      </c>
      <c r="D22" s="80" t="str">
        <f t="shared" si="0"/>
        <v>Opći prihodi i primici</v>
      </c>
      <c r="E22" s="85">
        <v>3237</v>
      </c>
      <c r="F22" s="80" t="str">
        <f t="shared" si="1"/>
        <v>Intelektualne i osobne usluge</v>
      </c>
      <c r="G22" s="118" t="s">
        <v>672</v>
      </c>
      <c r="H22" s="80" t="str">
        <f t="shared" si="2"/>
        <v>PROGRAMSKO FINANCIRANJE JAVNIH VISOKIH UČILIŠTA</v>
      </c>
      <c r="I22" s="80" t="str">
        <f t="shared" si="3"/>
        <v>0942</v>
      </c>
      <c r="J22" s="117">
        <v>28958</v>
      </c>
      <c r="K22" s="117">
        <f t="shared" si="4"/>
        <v>-10128</v>
      </c>
      <c r="L22" s="117">
        <v>18830</v>
      </c>
      <c r="M22" s="84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9"/>
        <v>94</v>
      </c>
      <c r="S22" s="142">
        <v>581</v>
      </c>
      <c r="T22" s="143" t="s">
        <v>1777</v>
      </c>
      <c r="V22" s="75">
        <v>3227</v>
      </c>
      <c r="W22" s="75" t="s">
        <v>118</v>
      </c>
      <c r="Y22" s="290" t="str">
        <f t="shared" si="10"/>
        <v>32</v>
      </c>
      <c r="Z22" s="75" t="str">
        <f t="shared" si="11"/>
        <v>322</v>
      </c>
      <c r="AB22" t="s">
        <v>1803</v>
      </c>
      <c r="AC22" t="s">
        <v>1804</v>
      </c>
      <c r="AD22" s="75" t="s">
        <v>5139</v>
      </c>
      <c r="AE22" s="75" t="s">
        <v>5140</v>
      </c>
      <c r="AF22" s="75" t="s">
        <v>5165</v>
      </c>
      <c r="AG22" s="75" t="s">
        <v>5172</v>
      </c>
    </row>
    <row r="23" spans="1:33">
      <c r="A23" s="79" t="e">
        <f>IF(C23="","",VLOOKUP('OPĆI DIO'!$C$3,'OPĆI DIO'!$L$6:$U$138,10,FALSE))</f>
        <v>#N/A</v>
      </c>
      <c r="B23" s="79" t="e">
        <f>IF(C23="","",VLOOKUP('OPĆI DIO'!$C$3,'OPĆI DIO'!$L$6:$U$138,9,FALSE))</f>
        <v>#N/A</v>
      </c>
      <c r="C23" s="85">
        <v>11</v>
      </c>
      <c r="D23" s="80" t="str">
        <f t="shared" si="0"/>
        <v>Opći prihodi i primici</v>
      </c>
      <c r="E23" s="85">
        <v>3238</v>
      </c>
      <c r="F23" s="80" t="str">
        <f t="shared" si="1"/>
        <v>Računalne usluge</v>
      </c>
      <c r="G23" s="118" t="s">
        <v>672</v>
      </c>
      <c r="H23" s="80" t="str">
        <f t="shared" si="2"/>
        <v>PROGRAMSKO FINANCIRANJE JAVNIH VISOKIH UČILIŠTA</v>
      </c>
      <c r="I23" s="80" t="str">
        <f t="shared" si="3"/>
        <v>0942</v>
      </c>
      <c r="J23" s="117">
        <v>996</v>
      </c>
      <c r="K23" s="117">
        <f t="shared" si="4"/>
        <v>2439</v>
      </c>
      <c r="L23" s="117">
        <v>3435</v>
      </c>
      <c r="M23" s="84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9"/>
        <v>94</v>
      </c>
      <c r="S23" s="75">
        <v>61</v>
      </c>
      <c r="T23" s="75" t="s">
        <v>115</v>
      </c>
      <c r="V23" s="75">
        <v>3231</v>
      </c>
      <c r="W23" s="75" t="s">
        <v>102</v>
      </c>
      <c r="Y23" s="290" t="str">
        <f t="shared" si="10"/>
        <v>32</v>
      </c>
      <c r="Z23" s="75" t="str">
        <f t="shared" si="11"/>
        <v>323</v>
      </c>
      <c r="AB23" t="s">
        <v>1805</v>
      </c>
      <c r="AC23" t="s">
        <v>1806</v>
      </c>
      <c r="AD23" s="75" t="s">
        <v>5143</v>
      </c>
      <c r="AE23" s="75" t="s">
        <v>5144</v>
      </c>
      <c r="AF23" s="75" t="s">
        <v>5165</v>
      </c>
      <c r="AG23" s="75" t="s">
        <v>5175</v>
      </c>
    </row>
    <row r="24" spans="1:33">
      <c r="A24" s="79" t="e">
        <f>IF(C24="","",VLOOKUP('OPĆI DIO'!$C$3,'OPĆI DIO'!$L$6:$U$138,10,FALSE))</f>
        <v>#N/A</v>
      </c>
      <c r="B24" s="79" t="e">
        <f>IF(C24="","",VLOOKUP('OPĆI DIO'!$C$3,'OPĆI DIO'!$L$6:$U$138,9,FALSE))</f>
        <v>#N/A</v>
      </c>
      <c r="C24" s="85">
        <v>11</v>
      </c>
      <c r="D24" s="80" t="str">
        <f t="shared" si="0"/>
        <v>Opći prihodi i primici</v>
      </c>
      <c r="E24" s="85">
        <v>3239</v>
      </c>
      <c r="F24" s="80" t="str">
        <f t="shared" si="1"/>
        <v>Ostale usluge</v>
      </c>
      <c r="G24" s="118" t="s">
        <v>672</v>
      </c>
      <c r="H24" s="80" t="str">
        <f t="shared" si="2"/>
        <v>PROGRAMSKO FINANCIRANJE JAVNIH VISOKIH UČILIŠTA</v>
      </c>
      <c r="I24" s="80" t="str">
        <f t="shared" si="3"/>
        <v>0942</v>
      </c>
      <c r="J24" s="117">
        <v>11199</v>
      </c>
      <c r="K24" s="117">
        <f t="shared" si="4"/>
        <v>-6884</v>
      </c>
      <c r="L24" s="117">
        <v>4315</v>
      </c>
      <c r="M24" s="84"/>
      <c r="O24" s="75" t="str">
        <f t="shared" si="5"/>
        <v>323</v>
      </c>
      <c r="P24" s="75" t="str">
        <f t="shared" si="6"/>
        <v>32</v>
      </c>
      <c r="Q24" s="75" t="str">
        <f t="shared" si="7"/>
        <v>11</v>
      </c>
      <c r="R24" s="75" t="str">
        <f t="shared" si="9"/>
        <v>94</v>
      </c>
      <c r="S24" s="75">
        <v>71</v>
      </c>
      <c r="T24" s="75" t="s">
        <v>173</v>
      </c>
      <c r="V24" s="75">
        <v>3232</v>
      </c>
      <c r="W24" s="75" t="s">
        <v>89</v>
      </c>
      <c r="Y24" s="290" t="str">
        <f t="shared" si="10"/>
        <v>32</v>
      </c>
      <c r="Z24" s="75" t="str">
        <f t="shared" si="11"/>
        <v>323</v>
      </c>
      <c r="AB24" t="s">
        <v>1807</v>
      </c>
      <c r="AC24" t="s">
        <v>1808</v>
      </c>
      <c r="AD24" s="75" t="s">
        <v>5145</v>
      </c>
      <c r="AE24" s="75" t="s">
        <v>5146</v>
      </c>
      <c r="AF24" s="75" t="s">
        <v>5165</v>
      </c>
      <c r="AG24" s="75" t="s">
        <v>5174</v>
      </c>
    </row>
    <row r="25" spans="1:33">
      <c r="A25" s="79" t="e">
        <f>IF(C25="","",VLOOKUP('OPĆI DIO'!$C$3,'OPĆI DIO'!$L$6:$U$138,10,FALSE))</f>
        <v>#N/A</v>
      </c>
      <c r="B25" s="79" t="e">
        <f>IF(C25="","",VLOOKUP('OPĆI DIO'!$C$3,'OPĆI DIO'!$L$6:$U$138,9,FALSE))</f>
        <v>#N/A</v>
      </c>
      <c r="C25" s="85">
        <v>11</v>
      </c>
      <c r="D25" s="80" t="str">
        <f t="shared" si="0"/>
        <v>Opći prihodi i primici</v>
      </c>
      <c r="E25" s="85">
        <v>3241</v>
      </c>
      <c r="F25" s="80" t="str">
        <f t="shared" si="1"/>
        <v>Naknade troškova osobama izvan radnog odnosa</v>
      </c>
      <c r="G25" s="118" t="s">
        <v>672</v>
      </c>
      <c r="H25" s="80" t="str">
        <f t="shared" si="2"/>
        <v>PROGRAMSKO FINANCIRANJE JAVNIH VISOKIH UČILIŠTA</v>
      </c>
      <c r="I25" s="80" t="str">
        <f t="shared" si="3"/>
        <v>0942</v>
      </c>
      <c r="J25" s="117">
        <v>1807</v>
      </c>
      <c r="K25" s="117">
        <f t="shared" si="4"/>
        <v>2519</v>
      </c>
      <c r="L25" s="117">
        <v>4326</v>
      </c>
      <c r="M25" s="84"/>
      <c r="O25" s="75" t="str">
        <f t="shared" si="5"/>
        <v>324</v>
      </c>
      <c r="P25" s="75" t="str">
        <f t="shared" si="6"/>
        <v>32</v>
      </c>
      <c r="Q25" s="75" t="str">
        <f t="shared" si="7"/>
        <v>11</v>
      </c>
      <c r="R25" s="75" t="str">
        <f t="shared" si="9"/>
        <v>94</v>
      </c>
      <c r="S25" s="75">
        <v>81</v>
      </c>
      <c r="T25" s="75" t="s">
        <v>56</v>
      </c>
      <c r="V25" s="75">
        <v>3233</v>
      </c>
      <c r="W25" s="75" t="s">
        <v>77</v>
      </c>
      <c r="Y25" s="290" t="str">
        <f t="shared" si="10"/>
        <v>32</v>
      </c>
      <c r="Z25" s="75" t="str">
        <f t="shared" si="11"/>
        <v>323</v>
      </c>
      <c r="AB25" t="s">
        <v>1809</v>
      </c>
      <c r="AC25" t="s">
        <v>1810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e">
        <f>IF(C26="","",VLOOKUP('OPĆI DIO'!$C$3,'OPĆI DIO'!$L$6:$U$138,10,FALSE))</f>
        <v>#N/A</v>
      </c>
      <c r="B26" s="79" t="e">
        <f>IF(C26="","",VLOOKUP('OPĆI DIO'!$C$3,'OPĆI DIO'!$L$6:$U$138,9,FALSE))</f>
        <v>#N/A</v>
      </c>
      <c r="C26" s="85">
        <v>11</v>
      </c>
      <c r="D26" s="80" t="str">
        <f t="shared" si="0"/>
        <v>Opći prihodi i primici</v>
      </c>
      <c r="E26" s="85">
        <v>3293</v>
      </c>
      <c r="F26" s="80" t="str">
        <f t="shared" si="1"/>
        <v>Reprezentacija</v>
      </c>
      <c r="G26" s="118" t="s">
        <v>672</v>
      </c>
      <c r="H26" s="80" t="str">
        <f t="shared" si="2"/>
        <v>PROGRAMSKO FINANCIRANJE JAVNIH VISOKIH UČILIŠTA</v>
      </c>
      <c r="I26" s="80" t="str">
        <f t="shared" si="3"/>
        <v>0942</v>
      </c>
      <c r="J26" s="117">
        <v>3694</v>
      </c>
      <c r="K26" s="117">
        <f t="shared" si="4"/>
        <v>-3694</v>
      </c>
      <c r="L26" s="117"/>
      <c r="M26" s="84"/>
      <c r="O26" s="75" t="str">
        <f t="shared" si="5"/>
        <v>329</v>
      </c>
      <c r="P26" s="75" t="str">
        <f t="shared" si="6"/>
        <v>32</v>
      </c>
      <c r="Q26" s="75" t="str">
        <f t="shared" si="7"/>
        <v>11</v>
      </c>
      <c r="R26" s="75" t="str">
        <f t="shared" si="9"/>
        <v>94</v>
      </c>
      <c r="V26" s="75">
        <v>3234</v>
      </c>
      <c r="W26" s="75" t="s">
        <v>90</v>
      </c>
      <c r="Y26" s="290" t="str">
        <f t="shared" si="10"/>
        <v>32</v>
      </c>
      <c r="Z26" s="75" t="str">
        <f t="shared" si="11"/>
        <v>323</v>
      </c>
      <c r="AB26" t="s">
        <v>1811</v>
      </c>
      <c r="AC26" t="s">
        <v>1812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/>
      <c r="B27" s="79"/>
      <c r="C27" s="85">
        <v>11</v>
      </c>
      <c r="D27" s="80" t="str">
        <f t="shared" si="0"/>
        <v>Opći prihodi i primici</v>
      </c>
      <c r="E27" s="85">
        <v>3294</v>
      </c>
      <c r="F27" s="80" t="str">
        <f t="shared" si="1"/>
        <v>Članarine i norme</v>
      </c>
      <c r="G27" s="118" t="s">
        <v>672</v>
      </c>
      <c r="H27" s="80" t="str">
        <f t="shared" si="2"/>
        <v>PROGRAMSKO FINANCIRANJE JAVNIH VISOKIH UČILIŠTA</v>
      </c>
      <c r="I27" s="80" t="str">
        <f t="shared" si="3"/>
        <v>0942</v>
      </c>
      <c r="J27" s="117"/>
      <c r="K27" s="117">
        <f t="shared" si="4"/>
        <v>440</v>
      </c>
      <c r="L27" s="117">
        <v>440</v>
      </c>
      <c r="M27" s="84"/>
      <c r="O27" s="75" t="str">
        <f t="shared" si="5"/>
        <v>329</v>
      </c>
      <c r="P27" s="75" t="str">
        <f t="shared" si="6"/>
        <v>32</v>
      </c>
      <c r="Q27" s="75" t="str">
        <f t="shared" si="7"/>
        <v>11</v>
      </c>
      <c r="R27" s="75" t="str">
        <f t="shared" si="9"/>
        <v>94</v>
      </c>
      <c r="AB27"/>
      <c r="AC27"/>
    </row>
    <row r="28" spans="1:33">
      <c r="A28" s="79" t="e">
        <f>IF(C28="","",VLOOKUP('OPĆI DIO'!$C$3,'OPĆI DIO'!$L$6:$U$138,10,FALSE))</f>
        <v>#N/A</v>
      </c>
      <c r="B28" s="79" t="e">
        <f>IF(C28="","",VLOOKUP('OPĆI DIO'!$C$3,'OPĆI DIO'!$L$6:$U$138,9,FALSE))</f>
        <v>#N/A</v>
      </c>
      <c r="C28" s="85">
        <v>11</v>
      </c>
      <c r="D28" s="80" t="str">
        <f t="shared" si="0"/>
        <v>Opći prihodi i primici</v>
      </c>
      <c r="E28" s="85">
        <v>3295</v>
      </c>
      <c r="F28" s="80" t="str">
        <f t="shared" si="1"/>
        <v>Pristojbe i naknade</v>
      </c>
      <c r="G28" s="118" t="s">
        <v>672</v>
      </c>
      <c r="H28" s="80" t="str">
        <f t="shared" si="2"/>
        <v>PROGRAMSKO FINANCIRANJE JAVNIH VISOKIH UČILIŠTA</v>
      </c>
      <c r="I28" s="80" t="str">
        <f t="shared" si="3"/>
        <v>0942</v>
      </c>
      <c r="J28" s="117">
        <v>61</v>
      </c>
      <c r="K28" s="117">
        <f t="shared" si="4"/>
        <v>-61</v>
      </c>
      <c r="L28" s="117"/>
      <c r="M28" s="84"/>
      <c r="O28" s="75" t="str">
        <f t="shared" si="5"/>
        <v>329</v>
      </c>
      <c r="P28" s="75" t="str">
        <f t="shared" si="6"/>
        <v>32</v>
      </c>
      <c r="Q28" s="75" t="str">
        <f t="shared" si="7"/>
        <v>11</v>
      </c>
      <c r="R28" s="75" t="str">
        <f t="shared" si="9"/>
        <v>94</v>
      </c>
      <c r="V28" s="75">
        <v>3235</v>
      </c>
      <c r="W28" s="75" t="s">
        <v>110</v>
      </c>
      <c r="Y28" s="290" t="str">
        <f t="shared" si="10"/>
        <v>32</v>
      </c>
      <c r="Z28" s="75" t="str">
        <f t="shared" si="11"/>
        <v>323</v>
      </c>
      <c r="AB28" t="s">
        <v>1813</v>
      </c>
      <c r="AC28" t="s">
        <v>1814</v>
      </c>
      <c r="AD28" s="75" t="s">
        <v>5151</v>
      </c>
      <c r="AE28" s="75" t="s">
        <v>5152</v>
      </c>
      <c r="AF28" s="75" t="s">
        <v>5165</v>
      </c>
      <c r="AG28" s="75" t="s">
        <v>5172</v>
      </c>
    </row>
    <row r="29" spans="1:33">
      <c r="A29" s="79" t="e">
        <f>IF(C29="","",VLOOKUP('OPĆI DIO'!$C$3,'OPĆI DIO'!$L$6:$U$138,10,FALSE))</f>
        <v>#N/A</v>
      </c>
      <c r="B29" s="79" t="e">
        <f>IF(C29="","",VLOOKUP('OPĆI DIO'!$C$3,'OPĆI DIO'!$L$6:$U$138,9,FALSE))</f>
        <v>#N/A</v>
      </c>
      <c r="C29" s="85">
        <v>11</v>
      </c>
      <c r="D29" s="80" t="str">
        <f t="shared" si="0"/>
        <v>Opći prihodi i primici</v>
      </c>
      <c r="E29" s="85">
        <v>3299</v>
      </c>
      <c r="F29" s="80" t="str">
        <f t="shared" si="1"/>
        <v>Ostali nespomenuti rashodi poslovanja</v>
      </c>
      <c r="G29" s="118" t="s">
        <v>672</v>
      </c>
      <c r="H29" s="80" t="str">
        <f t="shared" si="2"/>
        <v>PROGRAMSKO FINANCIRANJE JAVNIH VISOKIH UČILIŠTA</v>
      </c>
      <c r="I29" s="80" t="str">
        <f t="shared" si="3"/>
        <v>0942</v>
      </c>
      <c r="J29" s="117">
        <v>3709</v>
      </c>
      <c r="K29" s="117">
        <f t="shared" si="4"/>
        <v>-2277</v>
      </c>
      <c r="L29" s="117">
        <v>1432</v>
      </c>
      <c r="M29" s="84"/>
      <c r="O29" s="75" t="str">
        <f t="shared" si="5"/>
        <v>329</v>
      </c>
      <c r="P29" s="75" t="str">
        <f t="shared" si="6"/>
        <v>32</v>
      </c>
      <c r="Q29" s="75" t="str">
        <f t="shared" si="7"/>
        <v>11</v>
      </c>
      <c r="R29" s="75" t="str">
        <f t="shared" si="9"/>
        <v>94</v>
      </c>
      <c r="V29" s="75">
        <v>3236</v>
      </c>
      <c r="W29" s="75" t="s">
        <v>53</v>
      </c>
      <c r="Y29" s="290" t="str">
        <f t="shared" si="10"/>
        <v>32</v>
      </c>
      <c r="Z29" s="75" t="str">
        <f t="shared" si="11"/>
        <v>323</v>
      </c>
      <c r="AB29" t="s">
        <v>1815</v>
      </c>
      <c r="AC29" t="s">
        <v>1816</v>
      </c>
      <c r="AD29" s="75" t="s">
        <v>5151</v>
      </c>
      <c r="AE29" s="75" t="s">
        <v>5152</v>
      </c>
      <c r="AF29" s="75" t="s">
        <v>5165</v>
      </c>
      <c r="AG29" s="75" t="s">
        <v>5172</v>
      </c>
    </row>
    <row r="30" spans="1:33">
      <c r="A30" s="79" t="e">
        <f>IF(C30="","",VLOOKUP('OPĆI DIO'!$C$3,'OPĆI DIO'!$L$6:$U$138,10,FALSE))</f>
        <v>#N/A</v>
      </c>
      <c r="B30" s="79" t="e">
        <f>IF(C30="","",VLOOKUP('OPĆI DIO'!$C$3,'OPĆI DIO'!$L$6:$U$138,9,FALSE))</f>
        <v>#N/A</v>
      </c>
      <c r="C30" s="85">
        <v>11</v>
      </c>
      <c r="D30" s="80" t="str">
        <f t="shared" si="0"/>
        <v>Opći prihodi i primici</v>
      </c>
      <c r="E30" s="85">
        <v>3431</v>
      </c>
      <c r="F30" s="80" t="str">
        <f t="shared" si="1"/>
        <v>Bankarske usluge i usluge platnog prometa</v>
      </c>
      <c r="G30" s="118" t="s">
        <v>672</v>
      </c>
      <c r="H30" s="80" t="str">
        <f t="shared" si="2"/>
        <v>PROGRAMSKO FINANCIRANJE JAVNIH VISOKIH UČILIŠTA</v>
      </c>
      <c r="I30" s="80" t="str">
        <f t="shared" si="3"/>
        <v>0942</v>
      </c>
      <c r="J30" s="117">
        <v>606</v>
      </c>
      <c r="K30" s="117">
        <f t="shared" si="4"/>
        <v>-31</v>
      </c>
      <c r="L30" s="117">
        <v>575</v>
      </c>
      <c r="M30" s="84"/>
      <c r="O30" s="75" t="str">
        <f t="shared" si="5"/>
        <v>343</v>
      </c>
      <c r="P30" s="75" t="str">
        <f t="shared" si="6"/>
        <v>34</v>
      </c>
      <c r="Q30" s="75" t="str">
        <f t="shared" si="7"/>
        <v>11</v>
      </c>
      <c r="R30" s="75" t="str">
        <f t="shared" si="9"/>
        <v>94</v>
      </c>
      <c r="V30" s="75">
        <v>3237</v>
      </c>
      <c r="W30" s="75" t="s">
        <v>66</v>
      </c>
      <c r="Y30" s="290" t="str">
        <f t="shared" si="10"/>
        <v>32</v>
      </c>
      <c r="Z30" s="75" t="str">
        <f t="shared" si="11"/>
        <v>323</v>
      </c>
      <c r="AB30" t="s">
        <v>948</v>
      </c>
      <c r="AC30" t="s">
        <v>949</v>
      </c>
      <c r="AD30" s="75" t="s">
        <v>5143</v>
      </c>
      <c r="AE30" s="75" t="s">
        <v>5144</v>
      </c>
      <c r="AF30" s="75" t="s">
        <v>5165</v>
      </c>
      <c r="AG30" s="75" t="s">
        <v>5175</v>
      </c>
    </row>
    <row r="31" spans="1:33">
      <c r="A31" s="79" t="e">
        <f>IF(C31="","",VLOOKUP('OPĆI DIO'!$C$3,'OPĆI DIO'!$L$6:$U$138,10,FALSE))</f>
        <v>#N/A</v>
      </c>
      <c r="B31" s="79" t="e">
        <f>IF(C31="","",VLOOKUP('OPĆI DIO'!$C$3,'OPĆI DIO'!$L$6:$U$138,9,FALSE))</f>
        <v>#N/A</v>
      </c>
      <c r="C31" s="85">
        <v>11</v>
      </c>
      <c r="D31" s="80" t="str">
        <f t="shared" si="0"/>
        <v>Opći prihodi i primici</v>
      </c>
      <c r="E31" s="85">
        <v>3432</v>
      </c>
      <c r="F31" s="80" t="str">
        <f t="shared" si="1"/>
        <v>Negativne tečajne razlike i razlike zbog primjene valutne kl</v>
      </c>
      <c r="G31" s="118" t="s">
        <v>672</v>
      </c>
      <c r="H31" s="80" t="str">
        <f t="shared" si="2"/>
        <v>PROGRAMSKO FINANCIRANJE JAVNIH VISOKIH UČILIŠTA</v>
      </c>
      <c r="I31" s="80" t="str">
        <f t="shared" si="3"/>
        <v>0942</v>
      </c>
      <c r="J31" s="117">
        <v>7</v>
      </c>
      <c r="K31" s="117">
        <f t="shared" si="4"/>
        <v>3</v>
      </c>
      <c r="L31" s="117">
        <v>10</v>
      </c>
      <c r="M31" s="84"/>
      <c r="O31" s="75" t="str">
        <f t="shared" si="5"/>
        <v>343</v>
      </c>
      <c r="P31" s="75" t="str">
        <f t="shared" si="6"/>
        <v>34</v>
      </c>
      <c r="Q31" s="75" t="str">
        <f t="shared" si="7"/>
        <v>11</v>
      </c>
      <c r="R31" s="75" t="str">
        <f t="shared" si="9"/>
        <v>94</v>
      </c>
      <c r="V31" s="75">
        <v>3238</v>
      </c>
      <c r="W31" s="75" t="s">
        <v>103</v>
      </c>
      <c r="Y31" s="290" t="str">
        <f t="shared" si="10"/>
        <v>32</v>
      </c>
      <c r="Z31" s="75" t="str">
        <f t="shared" si="11"/>
        <v>323</v>
      </c>
      <c r="AB31" t="s">
        <v>1817</v>
      </c>
      <c r="AC31" t="s">
        <v>1818</v>
      </c>
      <c r="AD31" s="75" t="s">
        <v>5145</v>
      </c>
      <c r="AE31" s="75" t="s">
        <v>5146</v>
      </c>
      <c r="AF31" s="75" t="s">
        <v>5165</v>
      </c>
      <c r="AG31" s="75" t="s">
        <v>5174</v>
      </c>
    </row>
    <row r="32" spans="1:33">
      <c r="A32" s="79" t="e">
        <f>IF(C32="","",VLOOKUP('OPĆI DIO'!$C$3,'OPĆI DIO'!$L$6:$U$138,10,FALSE))</f>
        <v>#N/A</v>
      </c>
      <c r="B32" s="79" t="e">
        <f>IF(C32="","",VLOOKUP('OPĆI DIO'!$C$3,'OPĆI DIO'!$L$6:$U$138,9,FALSE))</f>
        <v>#N/A</v>
      </c>
      <c r="C32" s="85">
        <v>11</v>
      </c>
      <c r="D32" s="80" t="str">
        <f t="shared" si="0"/>
        <v>Opći prihodi i primici</v>
      </c>
      <c r="E32" s="85">
        <v>3433</v>
      </c>
      <c r="F32" s="80" t="str">
        <f t="shared" si="1"/>
        <v>Zatezne kamate</v>
      </c>
      <c r="G32" s="118" t="s">
        <v>672</v>
      </c>
      <c r="H32" s="80" t="str">
        <f t="shared" si="2"/>
        <v>PROGRAMSKO FINANCIRANJE JAVNIH VISOKIH UČILIŠTA</v>
      </c>
      <c r="I32" s="80" t="str">
        <f t="shared" si="3"/>
        <v>0942</v>
      </c>
      <c r="J32" s="117">
        <v>7</v>
      </c>
      <c r="K32" s="117">
        <f t="shared" si="4"/>
        <v>0</v>
      </c>
      <c r="L32" s="117">
        <v>7</v>
      </c>
      <c r="M32" s="84"/>
      <c r="O32" s="75" t="str">
        <f t="shared" si="5"/>
        <v>343</v>
      </c>
      <c r="P32" s="75" t="str">
        <f t="shared" si="6"/>
        <v>34</v>
      </c>
      <c r="Q32" s="75" t="str">
        <f t="shared" si="7"/>
        <v>11</v>
      </c>
      <c r="R32" s="75" t="str">
        <f t="shared" si="9"/>
        <v>94</v>
      </c>
      <c r="V32" s="75">
        <v>3239</v>
      </c>
      <c r="W32" s="75" t="s">
        <v>83</v>
      </c>
      <c r="Y32" s="290" t="str">
        <f t="shared" si="10"/>
        <v>32</v>
      </c>
      <c r="Z32" s="75" t="str">
        <f t="shared" si="11"/>
        <v>323</v>
      </c>
      <c r="AB32" t="s">
        <v>1819</v>
      </c>
      <c r="AC32" t="s">
        <v>1820</v>
      </c>
      <c r="AD32" s="75" t="s">
        <v>5143</v>
      </c>
      <c r="AE32" s="75" t="s">
        <v>5144</v>
      </c>
      <c r="AF32" s="75" t="s">
        <v>5165</v>
      </c>
      <c r="AG32" s="75" t="s">
        <v>5175</v>
      </c>
    </row>
    <row r="33" spans="1:33">
      <c r="A33" s="79" t="e">
        <f>IF(C33="","",VLOOKUP('OPĆI DIO'!$C$3,'OPĆI DIO'!$L$6:$U$138,10,FALSE))</f>
        <v>#N/A</v>
      </c>
      <c r="B33" s="79" t="e">
        <f>IF(C33="","",VLOOKUP('OPĆI DIO'!$C$3,'OPĆI DIO'!$L$6:$U$138,9,FALSE))</f>
        <v>#N/A</v>
      </c>
      <c r="C33" s="85">
        <v>11</v>
      </c>
      <c r="D33" s="80" t="str">
        <f t="shared" si="0"/>
        <v>Opći prihodi i primici</v>
      </c>
      <c r="E33" s="85">
        <v>3721</v>
      </c>
      <c r="F33" s="80" t="str">
        <f t="shared" si="1"/>
        <v>Naknade građanima i kućanstvima u novcu</v>
      </c>
      <c r="G33" s="118" t="s">
        <v>672</v>
      </c>
      <c r="H33" s="80" t="str">
        <f t="shared" si="2"/>
        <v>PROGRAMSKO FINANCIRANJE JAVNIH VISOKIH UČILIŠTA</v>
      </c>
      <c r="I33" s="80" t="str">
        <f t="shared" si="3"/>
        <v>0942</v>
      </c>
      <c r="J33" s="117">
        <v>2654</v>
      </c>
      <c r="K33" s="117">
        <f t="shared" si="4"/>
        <v>1331</v>
      </c>
      <c r="L33" s="117">
        <v>3985</v>
      </c>
      <c r="M33" s="84"/>
      <c r="O33" s="75" t="str">
        <f t="shared" si="5"/>
        <v>372</v>
      </c>
      <c r="P33" s="75" t="str">
        <f t="shared" si="6"/>
        <v>37</v>
      </c>
      <c r="Q33" s="75" t="str">
        <f t="shared" si="7"/>
        <v>11</v>
      </c>
      <c r="R33" s="75" t="str">
        <f t="shared" si="9"/>
        <v>94</v>
      </c>
      <c r="V33" s="75">
        <v>3241</v>
      </c>
      <c r="W33" s="75" t="s">
        <v>80</v>
      </c>
      <c r="Y33" s="290" t="str">
        <f t="shared" si="10"/>
        <v>32</v>
      </c>
      <c r="Z33" s="75" t="str">
        <f t="shared" si="11"/>
        <v>324</v>
      </c>
      <c r="AB33" t="s">
        <v>1821</v>
      </c>
      <c r="AC33" t="s">
        <v>1822</v>
      </c>
      <c r="AD33" s="75" t="s">
        <v>5141</v>
      </c>
      <c r="AE33" s="75" t="s">
        <v>5142</v>
      </c>
      <c r="AF33" s="75" t="s">
        <v>5167</v>
      </c>
      <c r="AG33" s="75" t="s">
        <v>5168</v>
      </c>
    </row>
    <row r="34" spans="1:33">
      <c r="A34" s="79" t="e">
        <f>IF(C34="","",VLOOKUP('OPĆI DIO'!$C$3,'OPĆI DIO'!$L$6:$U$138,10,FALSE))</f>
        <v>#N/A</v>
      </c>
      <c r="B34" s="79" t="e">
        <f>IF(C34="","",VLOOKUP('OPĆI DIO'!$C$3,'OPĆI DIO'!$L$6:$U$138,9,FALSE))</f>
        <v>#N/A</v>
      </c>
      <c r="C34" s="85">
        <v>11</v>
      </c>
      <c r="D34" s="80" t="str">
        <f t="shared" si="0"/>
        <v>Opći prihodi i primici</v>
      </c>
      <c r="E34" s="85">
        <v>4221</v>
      </c>
      <c r="F34" s="80" t="str">
        <f t="shared" si="1"/>
        <v>Uredska oprema i namještaj</v>
      </c>
      <c r="G34" s="118" t="s">
        <v>672</v>
      </c>
      <c r="H34" s="80" t="str">
        <f t="shared" si="2"/>
        <v>PROGRAMSKO FINANCIRANJE JAVNIH VISOKIH UČILIŠTA</v>
      </c>
      <c r="I34" s="80" t="str">
        <f t="shared" si="3"/>
        <v>0942</v>
      </c>
      <c r="J34" s="117">
        <v>32918</v>
      </c>
      <c r="K34" s="117">
        <f t="shared" si="4"/>
        <v>-11797</v>
      </c>
      <c r="L34" s="117">
        <v>21121</v>
      </c>
      <c r="M34" s="84"/>
      <c r="O34" s="75" t="str">
        <f t="shared" si="5"/>
        <v>422</v>
      </c>
      <c r="P34" s="75" t="str">
        <f t="shared" si="6"/>
        <v>42</v>
      </c>
      <c r="Q34" s="75" t="str">
        <f t="shared" si="7"/>
        <v>11</v>
      </c>
      <c r="R34" s="75" t="str">
        <f t="shared" si="9"/>
        <v>94</v>
      </c>
      <c r="V34" s="75">
        <v>3291</v>
      </c>
      <c r="W34" s="75" t="s">
        <v>81</v>
      </c>
      <c r="Y34" s="290" t="str">
        <f t="shared" si="10"/>
        <v>32</v>
      </c>
      <c r="Z34" s="75" t="str">
        <f t="shared" si="11"/>
        <v>329</v>
      </c>
      <c r="AB34" t="s">
        <v>1823</v>
      </c>
      <c r="AC34" t="s">
        <v>1824</v>
      </c>
      <c r="AD34" s="75" t="s">
        <v>5141</v>
      </c>
      <c r="AE34" s="75" t="s">
        <v>5142</v>
      </c>
      <c r="AF34" s="75" t="s">
        <v>5167</v>
      </c>
      <c r="AG34" s="75" t="s">
        <v>5168</v>
      </c>
    </row>
    <row r="35" spans="1:33">
      <c r="A35" s="79" t="e">
        <f>IF(C35="","",VLOOKUP('OPĆI DIO'!$C$3,'OPĆI DIO'!$L$6:$U$138,10,FALSE))</f>
        <v>#N/A</v>
      </c>
      <c r="B35" s="79" t="e">
        <f>IF(C35="","",VLOOKUP('OPĆI DIO'!$C$3,'OPĆI DIO'!$L$6:$U$138,9,FALSE))</f>
        <v>#N/A</v>
      </c>
      <c r="C35" s="85">
        <v>11</v>
      </c>
      <c r="D35" s="80" t="str">
        <f t="shared" si="0"/>
        <v>Opći prihodi i primici</v>
      </c>
      <c r="E35" s="85">
        <v>4226</v>
      </c>
      <c r="F35" s="80" t="str">
        <f t="shared" si="1"/>
        <v>Sportska i glazbena oprema</v>
      </c>
      <c r="G35" s="118" t="s">
        <v>672</v>
      </c>
      <c r="H35" s="80" t="str">
        <f t="shared" si="2"/>
        <v>PROGRAMSKO FINANCIRANJE JAVNIH VISOKIH UČILIŠTA</v>
      </c>
      <c r="I35" s="80" t="str">
        <f t="shared" si="3"/>
        <v>0942</v>
      </c>
      <c r="J35" s="117">
        <v>465</v>
      </c>
      <c r="K35" s="117">
        <f t="shared" ref="K35:K66" si="12">L35-J35</f>
        <v>-465</v>
      </c>
      <c r="L35" s="117"/>
      <c r="M35" s="84"/>
      <c r="O35" s="75" t="str">
        <f t="shared" si="5"/>
        <v>422</v>
      </c>
      <c r="P35" s="75" t="str">
        <f t="shared" si="6"/>
        <v>42</v>
      </c>
      <c r="Q35" s="75" t="str">
        <f t="shared" si="7"/>
        <v>11</v>
      </c>
      <c r="R35" s="75" t="str">
        <f t="shared" si="9"/>
        <v>94</v>
      </c>
      <c r="V35" s="75">
        <v>3292</v>
      </c>
      <c r="W35" s="75" t="s">
        <v>74</v>
      </c>
      <c r="Y35" s="290" t="str">
        <f t="shared" si="10"/>
        <v>32</v>
      </c>
      <c r="Z35" s="75" t="str">
        <f t="shared" si="11"/>
        <v>329</v>
      </c>
      <c r="AB35" t="s">
        <v>1825</v>
      </c>
      <c r="AC35" t="s">
        <v>1826</v>
      </c>
      <c r="AD35" s="75" t="s">
        <v>5143</v>
      </c>
      <c r="AE35" s="75" t="s">
        <v>5144</v>
      </c>
      <c r="AF35" s="75" t="s">
        <v>5165</v>
      </c>
      <c r="AG35" s="75" t="s">
        <v>5175</v>
      </c>
    </row>
    <row r="36" spans="1:33">
      <c r="A36" s="79" t="e">
        <f>IF(C36="","",VLOOKUP('OPĆI DIO'!$C$3,'OPĆI DIO'!$L$6:$U$138,10,FALSE))</f>
        <v>#N/A</v>
      </c>
      <c r="B36" s="79" t="e">
        <f>IF(C36="","",VLOOKUP('OPĆI DIO'!$C$3,'OPĆI DIO'!$L$6:$U$138,9,FALSE))</f>
        <v>#N/A</v>
      </c>
      <c r="C36" s="85">
        <v>11</v>
      </c>
      <c r="D36" s="80" t="str">
        <f t="shared" si="0"/>
        <v>Opći prihodi i primici</v>
      </c>
      <c r="E36" s="85">
        <v>4227</v>
      </c>
      <c r="F36" s="80" t="str">
        <f t="shared" si="1"/>
        <v>Uređaji, strojevi i oprema za ostale namjene</v>
      </c>
      <c r="G36" s="118" t="s">
        <v>672</v>
      </c>
      <c r="H36" s="80" t="str">
        <f t="shared" si="2"/>
        <v>PROGRAMSKO FINANCIRANJE JAVNIH VISOKIH UČILIŠTA</v>
      </c>
      <c r="I36" s="80" t="str">
        <f t="shared" si="3"/>
        <v>0942</v>
      </c>
      <c r="J36" s="117">
        <v>995</v>
      </c>
      <c r="K36" s="117">
        <f t="shared" si="12"/>
        <v>-995</v>
      </c>
      <c r="L36" s="117"/>
      <c r="M36" s="84"/>
      <c r="O36" s="75" t="str">
        <f t="shared" si="5"/>
        <v>422</v>
      </c>
      <c r="P36" s="75" t="str">
        <f t="shared" si="6"/>
        <v>42</v>
      </c>
      <c r="Q36" s="75" t="str">
        <f t="shared" si="7"/>
        <v>11</v>
      </c>
      <c r="R36" s="75" t="str">
        <f t="shared" si="9"/>
        <v>94</v>
      </c>
      <c r="V36" s="75">
        <v>3293</v>
      </c>
      <c r="W36" s="75" t="s">
        <v>84</v>
      </c>
      <c r="Y36" s="290" t="str">
        <f t="shared" si="10"/>
        <v>32</v>
      </c>
      <c r="Z36" s="75" t="str">
        <f t="shared" si="11"/>
        <v>329</v>
      </c>
      <c r="AB36" t="s">
        <v>1827</v>
      </c>
      <c r="AC36" t="s">
        <v>1828</v>
      </c>
      <c r="AD36" s="75" t="s">
        <v>5141</v>
      </c>
      <c r="AE36" s="75" t="s">
        <v>5142</v>
      </c>
      <c r="AF36" s="75" t="s">
        <v>5167</v>
      </c>
      <c r="AG36" s="75" t="s">
        <v>5168</v>
      </c>
    </row>
    <row r="37" spans="1:33">
      <c r="A37" s="79" t="e">
        <f>IF(C37="","",VLOOKUP('OPĆI DIO'!$C$3,'OPĆI DIO'!$L$6:$U$138,10,FALSE))</f>
        <v>#N/A</v>
      </c>
      <c r="B37" s="79" t="e">
        <f>IF(C37="","",VLOOKUP('OPĆI DIO'!$C$3,'OPĆI DIO'!$L$6:$U$138,9,FALSE))</f>
        <v>#N/A</v>
      </c>
      <c r="C37" s="85">
        <v>11</v>
      </c>
      <c r="D37" s="80" t="str">
        <f t="shared" si="0"/>
        <v>Opći prihodi i primici</v>
      </c>
      <c r="E37" s="85">
        <v>4241</v>
      </c>
      <c r="F37" s="80" t="str">
        <f t="shared" si="1"/>
        <v>Knjige</v>
      </c>
      <c r="G37" s="118" t="s">
        <v>672</v>
      </c>
      <c r="H37" s="80" t="str">
        <f t="shared" si="2"/>
        <v>PROGRAMSKO FINANCIRANJE JAVNIH VISOKIH UČILIŠTA</v>
      </c>
      <c r="I37" s="80" t="str">
        <f t="shared" si="3"/>
        <v>0942</v>
      </c>
      <c r="J37" s="117">
        <v>1128</v>
      </c>
      <c r="K37" s="117">
        <f t="shared" si="12"/>
        <v>-828</v>
      </c>
      <c r="L37" s="117">
        <v>300</v>
      </c>
      <c r="M37" s="84"/>
      <c r="O37" s="75" t="str">
        <f t="shared" si="5"/>
        <v>424</v>
      </c>
      <c r="P37" s="75" t="str">
        <f t="shared" si="6"/>
        <v>42</v>
      </c>
      <c r="Q37" s="75" t="str">
        <f t="shared" si="7"/>
        <v>11</v>
      </c>
      <c r="R37" s="75" t="str">
        <f t="shared" si="9"/>
        <v>94</v>
      </c>
      <c r="V37" s="75">
        <v>3293</v>
      </c>
      <c r="W37" s="75" t="s">
        <v>131</v>
      </c>
      <c r="Y37" s="290" t="str">
        <f t="shared" si="10"/>
        <v>32</v>
      </c>
      <c r="Z37" s="75" t="str">
        <f t="shared" si="11"/>
        <v>329</v>
      </c>
      <c r="AB37" t="s">
        <v>1625</v>
      </c>
      <c r="AC37" t="s">
        <v>1626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e">
        <f>IF(C38="","",VLOOKUP('OPĆI DIO'!$C$3,'OPĆI DIO'!$L$6:$U$138,10,FALSE))</f>
        <v>#N/A</v>
      </c>
      <c r="B38" s="79" t="e">
        <f>IF(C38="","",VLOOKUP('OPĆI DIO'!$C$3,'OPĆI DIO'!$L$6:$U$138,9,FALSE))</f>
        <v>#N/A</v>
      </c>
      <c r="C38" s="85">
        <v>52</v>
      </c>
      <c r="D38" s="80" t="str">
        <f t="shared" si="0"/>
        <v>Ostale pomoći</v>
      </c>
      <c r="E38" s="85">
        <v>3211</v>
      </c>
      <c r="F38" s="80" t="str">
        <f t="shared" si="1"/>
        <v>Službena putovanja</v>
      </c>
      <c r="G38" s="118" t="s">
        <v>177</v>
      </c>
      <c r="H38" s="80" t="str">
        <f t="shared" si="2"/>
        <v>REDOVNA DJELATNOST SVEUČILIŠTA U OSIJEKU (IZ EVIDENCIJSKIH PRIHODA)</v>
      </c>
      <c r="I38" s="80" t="str">
        <f t="shared" si="3"/>
        <v>0942</v>
      </c>
      <c r="J38" s="117">
        <v>4643</v>
      </c>
      <c r="K38" s="117">
        <f t="shared" si="12"/>
        <v>-47</v>
      </c>
      <c r="L38" s="117">
        <v>4596</v>
      </c>
      <c r="M38" s="84"/>
      <c r="O38" s="75" t="str">
        <f t="shared" si="5"/>
        <v>321</v>
      </c>
      <c r="P38" s="75" t="str">
        <f t="shared" si="6"/>
        <v>32</v>
      </c>
      <c r="Q38" s="75" t="str">
        <f t="shared" si="7"/>
        <v>52</v>
      </c>
      <c r="R38" s="75" t="str">
        <f t="shared" si="9"/>
        <v>94</v>
      </c>
      <c r="V38" s="75">
        <v>3294</v>
      </c>
      <c r="W38" s="75" t="s">
        <v>85</v>
      </c>
      <c r="Y38" s="290" t="str">
        <f t="shared" si="10"/>
        <v>32</v>
      </c>
      <c r="Z38" s="75" t="str">
        <f t="shared" si="11"/>
        <v>329</v>
      </c>
      <c r="AB38" t="s">
        <v>1627</v>
      </c>
      <c r="AC38" t="s">
        <v>1628</v>
      </c>
      <c r="AD38" s="75" t="s">
        <v>5143</v>
      </c>
      <c r="AE38" s="75" t="s">
        <v>5144</v>
      </c>
      <c r="AF38" s="75" t="s">
        <v>5165</v>
      </c>
      <c r="AG38" s="75" t="s">
        <v>5175</v>
      </c>
    </row>
    <row r="39" spans="1:33">
      <c r="A39" s="79"/>
      <c r="B39" s="79"/>
      <c r="C39" s="85">
        <v>52</v>
      </c>
      <c r="D39" s="80" t="str">
        <f t="shared" si="0"/>
        <v>Ostale pomoći</v>
      </c>
      <c r="E39" s="85">
        <v>3213</v>
      </c>
      <c r="F39" s="80" t="str">
        <f t="shared" si="1"/>
        <v>Stručno usavršavanje zaposlenika</v>
      </c>
      <c r="G39" s="118" t="s">
        <v>177</v>
      </c>
      <c r="H39" s="80" t="str">
        <f t="shared" si="2"/>
        <v>REDOVNA DJELATNOST SVEUČILIŠTA U OSIJEKU (IZ EVIDENCIJSKIH PRIHODA)</v>
      </c>
      <c r="I39" s="80" t="str">
        <f t="shared" si="3"/>
        <v>0942</v>
      </c>
      <c r="J39" s="117"/>
      <c r="K39" s="117">
        <f t="shared" si="12"/>
        <v>0</v>
      </c>
      <c r="L39" s="117"/>
      <c r="M39" s="84"/>
      <c r="O39" s="75" t="str">
        <f t="shared" si="5"/>
        <v>321</v>
      </c>
      <c r="P39" s="75" t="str">
        <f t="shared" si="6"/>
        <v>32</v>
      </c>
      <c r="Q39" s="75" t="str">
        <f t="shared" si="7"/>
        <v>52</v>
      </c>
      <c r="R39" s="75" t="str">
        <f t="shared" si="9"/>
        <v>94</v>
      </c>
      <c r="AB39"/>
      <c r="AC39"/>
    </row>
    <row r="40" spans="1:33">
      <c r="A40" s="79"/>
      <c r="B40" s="79"/>
      <c r="C40" s="85">
        <v>52</v>
      </c>
      <c r="D40" s="80" t="str">
        <f t="shared" si="0"/>
        <v>Ostale pomoći</v>
      </c>
      <c r="E40" s="85">
        <v>3237</v>
      </c>
      <c r="F40" s="80" t="str">
        <f t="shared" si="1"/>
        <v>Intelektualne i osobne usluge</v>
      </c>
      <c r="G40" s="118" t="s">
        <v>177</v>
      </c>
      <c r="H40" s="80" t="str">
        <f t="shared" si="2"/>
        <v>REDOVNA DJELATNOST SVEUČILIŠTA U OSIJEKU (IZ EVIDENCIJSKIH PRIHODA)</v>
      </c>
      <c r="I40" s="80" t="str">
        <f t="shared" si="3"/>
        <v>0942</v>
      </c>
      <c r="J40" s="117"/>
      <c r="K40" s="117">
        <f t="shared" si="12"/>
        <v>17040</v>
      </c>
      <c r="L40" s="117">
        <v>17040</v>
      </c>
      <c r="M40" s="84"/>
      <c r="O40" s="75" t="str">
        <f t="shared" si="5"/>
        <v>323</v>
      </c>
      <c r="P40" s="75" t="str">
        <f t="shared" si="6"/>
        <v>32</v>
      </c>
      <c r="Q40" s="75" t="str">
        <f t="shared" si="7"/>
        <v>52</v>
      </c>
      <c r="R40" s="75" t="str">
        <f t="shared" si="9"/>
        <v>94</v>
      </c>
      <c r="AB40"/>
      <c r="AC40"/>
    </row>
    <row r="41" spans="1:33">
      <c r="A41" s="79"/>
      <c r="B41" s="79"/>
      <c r="C41" s="85">
        <v>52</v>
      </c>
      <c r="D41" s="80" t="str">
        <f t="shared" si="0"/>
        <v>Ostale pomoći</v>
      </c>
      <c r="E41" s="85">
        <v>3239</v>
      </c>
      <c r="F41" s="80" t="str">
        <f t="shared" si="1"/>
        <v>Ostale usluge</v>
      </c>
      <c r="G41" s="118" t="s">
        <v>177</v>
      </c>
      <c r="H41" s="80" t="str">
        <f t="shared" si="2"/>
        <v>REDOVNA DJELATNOST SVEUČILIŠTA U OSIJEKU (IZ EVIDENCIJSKIH PRIHODA)</v>
      </c>
      <c r="I41" s="80" t="str">
        <f t="shared" si="3"/>
        <v>0942</v>
      </c>
      <c r="J41" s="117"/>
      <c r="K41" s="117">
        <f t="shared" si="12"/>
        <v>0</v>
      </c>
      <c r="L41" s="117"/>
      <c r="M41" s="84"/>
      <c r="O41" s="75" t="str">
        <f t="shared" si="5"/>
        <v>323</v>
      </c>
      <c r="P41" s="75" t="str">
        <f t="shared" si="6"/>
        <v>32</v>
      </c>
      <c r="Q41" s="75" t="str">
        <f t="shared" si="7"/>
        <v>52</v>
      </c>
      <c r="R41" s="75" t="str">
        <f t="shared" si="9"/>
        <v>94</v>
      </c>
      <c r="AB41"/>
      <c r="AC41"/>
    </row>
    <row r="42" spans="1:33">
      <c r="A42" s="79" t="e">
        <f>IF(C42="","",VLOOKUP('OPĆI DIO'!$C$3,'OPĆI DIO'!$L$6:$U$138,10,FALSE))</f>
        <v>#N/A</v>
      </c>
      <c r="B42" s="79" t="e">
        <f>IF(C42="","",VLOOKUP('OPĆI DIO'!$C$3,'OPĆI DIO'!$L$6:$U$138,9,FALSE))</f>
        <v>#N/A</v>
      </c>
      <c r="C42" s="85">
        <v>52</v>
      </c>
      <c r="D42" s="80" t="str">
        <f t="shared" si="0"/>
        <v>Ostale pomoći</v>
      </c>
      <c r="E42" s="85">
        <v>3241</v>
      </c>
      <c r="F42" s="80" t="str">
        <f t="shared" si="1"/>
        <v>Naknade troškova osobama izvan radnog odnosa</v>
      </c>
      <c r="G42" s="118" t="s">
        <v>177</v>
      </c>
      <c r="H42" s="80" t="str">
        <f t="shared" si="2"/>
        <v>REDOVNA DJELATNOST SVEUČILIŠTA U OSIJEKU (IZ EVIDENCIJSKIH PRIHODA)</v>
      </c>
      <c r="I42" s="80" t="str">
        <f t="shared" si="3"/>
        <v>0942</v>
      </c>
      <c r="J42" s="117">
        <v>1367</v>
      </c>
      <c r="K42" s="117">
        <f t="shared" si="12"/>
        <v>-1251</v>
      </c>
      <c r="L42" s="117">
        <v>116</v>
      </c>
      <c r="M42" s="84"/>
      <c r="O42" s="75" t="str">
        <f t="shared" si="5"/>
        <v>324</v>
      </c>
      <c r="P42" s="75" t="str">
        <f t="shared" si="6"/>
        <v>32</v>
      </c>
      <c r="Q42" s="75" t="str">
        <f t="shared" si="7"/>
        <v>52</v>
      </c>
      <c r="R42" s="75" t="str">
        <f t="shared" si="9"/>
        <v>94</v>
      </c>
      <c r="V42" s="75">
        <v>3295</v>
      </c>
      <c r="W42" s="75" t="s">
        <v>54</v>
      </c>
      <c r="Y42" s="290" t="str">
        <f t="shared" si="10"/>
        <v>32</v>
      </c>
      <c r="Z42" s="75" t="str">
        <f t="shared" si="11"/>
        <v>329</v>
      </c>
      <c r="AB42" t="s">
        <v>1829</v>
      </c>
      <c r="AC42" t="s">
        <v>1830</v>
      </c>
      <c r="AD42" s="75" t="s">
        <v>5143</v>
      </c>
      <c r="AE42" s="75" t="s">
        <v>5144</v>
      </c>
      <c r="AF42" s="75" t="s">
        <v>5165</v>
      </c>
      <c r="AG42" s="75" t="s">
        <v>5175</v>
      </c>
    </row>
    <row r="43" spans="1:33">
      <c r="A43" s="79" t="e">
        <f>IF(C43="","",VLOOKUP('OPĆI DIO'!$C$3,'OPĆI DIO'!$L$6:$U$138,10,FALSE))</f>
        <v>#N/A</v>
      </c>
      <c r="B43" s="79" t="e">
        <f>IF(C43="","",VLOOKUP('OPĆI DIO'!$C$3,'OPĆI DIO'!$L$6:$U$138,9,FALSE))</f>
        <v>#N/A</v>
      </c>
      <c r="C43" s="85">
        <v>52</v>
      </c>
      <c r="D43" s="80" t="str">
        <f t="shared" si="0"/>
        <v>Ostale pomoći</v>
      </c>
      <c r="E43" s="85">
        <v>3221</v>
      </c>
      <c r="F43" s="80" t="str">
        <f t="shared" si="1"/>
        <v>Uredski materijal i ostali materijalni rashodi</v>
      </c>
      <c r="G43" s="118" t="s">
        <v>177</v>
      </c>
      <c r="H43" s="80" t="str">
        <f t="shared" si="2"/>
        <v>REDOVNA DJELATNOST SVEUČILIŠTA U OSIJEKU (IZ EVIDENCIJSKIH PRIHODA)</v>
      </c>
      <c r="I43" s="80" t="str">
        <f t="shared" si="3"/>
        <v>0942</v>
      </c>
      <c r="J43" s="117">
        <v>266</v>
      </c>
      <c r="K43" s="117">
        <f t="shared" si="12"/>
        <v>-266</v>
      </c>
      <c r="L43" s="117"/>
      <c r="M43" s="84"/>
      <c r="O43" s="75" t="str">
        <f t="shared" si="5"/>
        <v>322</v>
      </c>
      <c r="P43" s="75" t="str">
        <f t="shared" si="6"/>
        <v>32</v>
      </c>
      <c r="Q43" s="75" t="str">
        <f t="shared" si="7"/>
        <v>52</v>
      </c>
      <c r="R43" s="75" t="str">
        <f t="shared" si="9"/>
        <v>94</v>
      </c>
      <c r="V43" s="75">
        <v>3296</v>
      </c>
      <c r="W43" s="75" t="s">
        <v>148</v>
      </c>
      <c r="Y43" s="290" t="str">
        <f t="shared" si="10"/>
        <v>32</v>
      </c>
      <c r="Z43" s="75" t="str">
        <f t="shared" si="11"/>
        <v>329</v>
      </c>
      <c r="AB43" t="s">
        <v>1831</v>
      </c>
      <c r="AC43" t="s">
        <v>1832</v>
      </c>
      <c r="AD43" s="75" t="s">
        <v>5153</v>
      </c>
      <c r="AE43" s="75" t="s">
        <v>5154</v>
      </c>
      <c r="AF43" s="75" t="s">
        <v>5167</v>
      </c>
      <c r="AG43" s="75" t="s">
        <v>5180</v>
      </c>
    </row>
    <row r="44" spans="1:33">
      <c r="A44" s="79" t="e">
        <f>IF(C44="","",VLOOKUP('OPĆI DIO'!$C$3,'OPĆI DIO'!$L$6:$U$138,10,FALSE))</f>
        <v>#N/A</v>
      </c>
      <c r="B44" s="79" t="e">
        <f>IF(C44="","",VLOOKUP('OPĆI DIO'!$C$3,'OPĆI DIO'!$L$6:$U$138,9,FALSE))</f>
        <v>#N/A</v>
      </c>
      <c r="C44" s="85">
        <v>52</v>
      </c>
      <c r="D44" s="80" t="str">
        <f t="shared" si="0"/>
        <v>Ostale pomoći</v>
      </c>
      <c r="E44" s="85">
        <v>3721</v>
      </c>
      <c r="F44" s="80" t="str">
        <f t="shared" si="1"/>
        <v>Naknade građanima i kućanstvima u novcu</v>
      </c>
      <c r="G44" s="118" t="s">
        <v>177</v>
      </c>
      <c r="H44" s="80" t="str">
        <f t="shared" si="2"/>
        <v>REDOVNA DJELATNOST SVEUČILIŠTA U OSIJEKU (IZ EVIDENCIJSKIH PRIHODA)</v>
      </c>
      <c r="I44" s="80" t="str">
        <f t="shared" si="3"/>
        <v>0942</v>
      </c>
      <c r="J44" s="117">
        <v>1327</v>
      </c>
      <c r="K44" s="117">
        <f t="shared" si="12"/>
        <v>-1327</v>
      </c>
      <c r="L44" s="117"/>
      <c r="M44" s="84"/>
      <c r="O44" s="75" t="str">
        <f t="shared" si="5"/>
        <v>372</v>
      </c>
      <c r="P44" s="75" t="str">
        <f t="shared" si="6"/>
        <v>37</v>
      </c>
      <c r="Q44" s="75" t="str">
        <f t="shared" si="7"/>
        <v>52</v>
      </c>
      <c r="R44" s="75" t="str">
        <f t="shared" si="9"/>
        <v>94</v>
      </c>
      <c r="V44" s="75">
        <v>3299</v>
      </c>
      <c r="W44" s="75" t="s">
        <v>57</v>
      </c>
      <c r="Y44" s="290" t="str">
        <f t="shared" si="10"/>
        <v>32</v>
      </c>
      <c r="Z44" s="75" t="str">
        <f t="shared" si="11"/>
        <v>329</v>
      </c>
      <c r="AB44" t="s">
        <v>1831</v>
      </c>
      <c r="AC44" t="s">
        <v>1832</v>
      </c>
      <c r="AD44" s="75" t="s">
        <v>5139</v>
      </c>
      <c r="AE44" s="75" t="s">
        <v>5140</v>
      </c>
      <c r="AF44" s="75" t="s">
        <v>5165</v>
      </c>
      <c r="AG44" s="75" t="s">
        <v>5172</v>
      </c>
    </row>
    <row r="45" spans="1:33">
      <c r="A45" s="79" t="e">
        <f>IF(C45="","",VLOOKUP('OPĆI DIO'!$C$3,'OPĆI DIO'!$L$6:$U$138,10,FALSE))</f>
        <v>#N/A</v>
      </c>
      <c r="B45" s="79" t="e">
        <f>IF(C45="","",VLOOKUP('OPĆI DIO'!$C$3,'OPĆI DIO'!$L$6:$U$138,9,FALSE))</f>
        <v>#N/A</v>
      </c>
      <c r="C45" s="85">
        <v>52</v>
      </c>
      <c r="D45" s="80" t="str">
        <f t="shared" si="0"/>
        <v>Ostale pomoći</v>
      </c>
      <c r="E45" s="85">
        <v>3293</v>
      </c>
      <c r="F45" s="80" t="str">
        <f t="shared" si="1"/>
        <v>Reprezentacija</v>
      </c>
      <c r="G45" s="118" t="s">
        <v>177</v>
      </c>
      <c r="H45" s="80" t="str">
        <f t="shared" si="2"/>
        <v>REDOVNA DJELATNOST SVEUČILIŠTA U OSIJEKU (IZ EVIDENCIJSKIH PRIHODA)</v>
      </c>
      <c r="I45" s="80" t="str">
        <f t="shared" si="3"/>
        <v>0942</v>
      </c>
      <c r="J45" s="117"/>
      <c r="K45" s="117">
        <f t="shared" si="12"/>
        <v>22</v>
      </c>
      <c r="L45" s="117">
        <v>22</v>
      </c>
      <c r="M45" s="84"/>
      <c r="O45" s="75" t="str">
        <f t="shared" si="5"/>
        <v>329</v>
      </c>
      <c r="P45" s="75" t="str">
        <f t="shared" si="6"/>
        <v>32</v>
      </c>
      <c r="Q45" s="75" t="str">
        <f t="shared" si="7"/>
        <v>52</v>
      </c>
      <c r="R45" s="75" t="str">
        <f t="shared" si="9"/>
        <v>94</v>
      </c>
      <c r="V45" s="75">
        <v>3411</v>
      </c>
      <c r="W45" s="75" t="s">
        <v>186</v>
      </c>
      <c r="Y45" s="290" t="str">
        <f t="shared" si="10"/>
        <v>34</v>
      </c>
      <c r="Z45" s="75" t="str">
        <f t="shared" si="11"/>
        <v>341</v>
      </c>
      <c r="AB45" t="s">
        <v>1833</v>
      </c>
      <c r="AC45" t="s">
        <v>1834</v>
      </c>
      <c r="AD45" s="75" t="s">
        <v>5139</v>
      </c>
      <c r="AE45" s="75" t="s">
        <v>5140</v>
      </c>
      <c r="AF45" s="75" t="s">
        <v>5165</v>
      </c>
      <c r="AG45" s="75" t="s">
        <v>5172</v>
      </c>
    </row>
    <row r="46" spans="1:33">
      <c r="A46" s="79" t="e">
        <f>IF(C46="","",VLOOKUP('OPĆI DIO'!$C$3,'OPĆI DIO'!$L$6:$U$138,10,FALSE))</f>
        <v>#N/A</v>
      </c>
      <c r="B46" s="79" t="e">
        <f>IF(C46="","",VLOOKUP('OPĆI DIO'!$C$3,'OPĆI DIO'!$L$6:$U$138,9,FALSE))</f>
        <v>#N/A</v>
      </c>
      <c r="C46" s="85">
        <v>52</v>
      </c>
      <c r="D46" s="80" t="str">
        <f t="shared" si="0"/>
        <v>Ostale pomoći</v>
      </c>
      <c r="E46" s="85">
        <v>3111</v>
      </c>
      <c r="F46" s="80" t="str">
        <f t="shared" si="1"/>
        <v>Plaće za redovan rad</v>
      </c>
      <c r="G46" s="118" t="s">
        <v>177</v>
      </c>
      <c r="H46" s="80" t="str">
        <f t="shared" si="2"/>
        <v>REDOVNA DJELATNOST SVEUČILIŠTA U OSIJEKU (IZ EVIDENCIJSKIH PRIHODA)</v>
      </c>
      <c r="I46" s="80" t="str">
        <f t="shared" si="3"/>
        <v>0942</v>
      </c>
      <c r="J46" s="117">
        <v>1889</v>
      </c>
      <c r="K46" s="117">
        <f t="shared" si="12"/>
        <v>2172</v>
      </c>
      <c r="L46" s="117">
        <v>4061</v>
      </c>
      <c r="M46" s="84"/>
      <c r="O46" s="75" t="str">
        <f t="shared" si="5"/>
        <v>311</v>
      </c>
      <c r="P46" s="75" t="str">
        <f t="shared" si="6"/>
        <v>31</v>
      </c>
      <c r="Q46" s="75" t="str">
        <f t="shared" si="7"/>
        <v>52</v>
      </c>
      <c r="R46" s="75" t="str">
        <f t="shared" si="9"/>
        <v>94</v>
      </c>
      <c r="V46" s="75">
        <v>3422</v>
      </c>
      <c r="W46" s="75" t="s">
        <v>149</v>
      </c>
      <c r="Y46" s="290" t="str">
        <f t="shared" si="10"/>
        <v>34</v>
      </c>
      <c r="Z46" s="75" t="str">
        <f t="shared" si="11"/>
        <v>342</v>
      </c>
      <c r="AB46" t="s">
        <v>1835</v>
      </c>
      <c r="AC46" t="s">
        <v>1836</v>
      </c>
      <c r="AD46" s="75" t="s">
        <v>5143</v>
      </c>
      <c r="AE46" s="75" t="s">
        <v>5144</v>
      </c>
      <c r="AF46" s="75" t="s">
        <v>5165</v>
      </c>
      <c r="AG46" s="75" t="s">
        <v>5175</v>
      </c>
    </row>
    <row r="47" spans="1:33">
      <c r="A47" s="79" t="e">
        <f>IF(C47="","",VLOOKUP('OPĆI DIO'!$C$3,'OPĆI DIO'!$L$6:$U$138,10,FALSE))</f>
        <v>#N/A</v>
      </c>
      <c r="B47" s="79" t="e">
        <f>IF(C47="","",VLOOKUP('OPĆI DIO'!$C$3,'OPĆI DIO'!$L$6:$U$138,9,FALSE))</f>
        <v>#N/A</v>
      </c>
      <c r="C47" s="85">
        <v>52</v>
      </c>
      <c r="D47" s="80" t="str">
        <f t="shared" si="0"/>
        <v>Ostale pomoći</v>
      </c>
      <c r="E47" s="85">
        <v>3132</v>
      </c>
      <c r="F47" s="80" t="str">
        <f t="shared" si="1"/>
        <v>Doprinosi za obvezno zdravstveno osiguranje</v>
      </c>
      <c r="G47" s="118" t="s">
        <v>177</v>
      </c>
      <c r="H47" s="80" t="str">
        <f t="shared" si="2"/>
        <v>REDOVNA DJELATNOST SVEUČILIŠTA U OSIJEKU (IZ EVIDENCIJSKIH PRIHODA)</v>
      </c>
      <c r="I47" s="80" t="str">
        <f t="shared" si="3"/>
        <v>0942</v>
      </c>
      <c r="J47" s="117">
        <v>311</v>
      </c>
      <c r="K47" s="117">
        <f t="shared" si="12"/>
        <v>359</v>
      </c>
      <c r="L47" s="117">
        <v>670</v>
      </c>
      <c r="M47" s="84"/>
      <c r="O47" s="75" t="str">
        <f t="shared" si="5"/>
        <v>313</v>
      </c>
      <c r="P47" s="75" t="str">
        <f t="shared" si="6"/>
        <v>31</v>
      </c>
      <c r="Q47" s="75" t="str">
        <f t="shared" si="7"/>
        <v>52</v>
      </c>
      <c r="R47" s="75" t="str">
        <f t="shared" si="9"/>
        <v>94</v>
      </c>
      <c r="V47" s="75">
        <v>3423</v>
      </c>
      <c r="W47" s="75" t="s">
        <v>149</v>
      </c>
      <c r="Y47" s="290" t="str">
        <f t="shared" ref="Y47:Y96" si="13">LEFT(V47,2)</f>
        <v>34</v>
      </c>
      <c r="Z47" s="75" t="str">
        <f t="shared" ref="Z47:Z96" si="14">LEFT(V47,3)</f>
        <v>342</v>
      </c>
      <c r="AB47" t="s">
        <v>1837</v>
      </c>
      <c r="AC47" t="s">
        <v>933</v>
      </c>
      <c r="AD47" s="75" t="s">
        <v>5153</v>
      </c>
      <c r="AE47" s="75" t="s">
        <v>5154</v>
      </c>
      <c r="AF47" s="75" t="s">
        <v>5167</v>
      </c>
      <c r="AG47" s="75" t="s">
        <v>5180</v>
      </c>
    </row>
    <row r="48" spans="1:33">
      <c r="A48" s="79"/>
      <c r="B48" s="79"/>
      <c r="C48" s="85">
        <v>52</v>
      </c>
      <c r="D48" s="80" t="str">
        <f t="shared" si="0"/>
        <v>Ostale pomoći</v>
      </c>
      <c r="E48" s="85">
        <v>3299</v>
      </c>
      <c r="F48" s="80" t="str">
        <f t="shared" si="1"/>
        <v>Ostali nespomenuti rashodi poslovanja</v>
      </c>
      <c r="G48" s="118" t="s">
        <v>177</v>
      </c>
      <c r="H48" s="80" t="str">
        <f t="shared" si="2"/>
        <v>REDOVNA DJELATNOST SVEUČILIŠTA U OSIJEKU (IZ EVIDENCIJSKIH PRIHODA)</v>
      </c>
      <c r="I48" s="80" t="str">
        <f t="shared" si="3"/>
        <v>0942</v>
      </c>
      <c r="J48" s="117"/>
      <c r="K48" s="117">
        <f t="shared" si="12"/>
        <v>0</v>
      </c>
      <c r="L48" s="117"/>
      <c r="M48" s="84"/>
      <c r="O48" s="75" t="str">
        <f t="shared" si="5"/>
        <v>329</v>
      </c>
      <c r="P48" s="75" t="str">
        <f t="shared" si="6"/>
        <v>32</v>
      </c>
      <c r="Q48" s="75" t="str">
        <f t="shared" si="7"/>
        <v>52</v>
      </c>
      <c r="R48" s="75" t="str">
        <f t="shared" si="9"/>
        <v>94</v>
      </c>
      <c r="AB48"/>
      <c r="AC48"/>
    </row>
    <row r="49" spans="1:33">
      <c r="A49" s="79" t="e">
        <f>IF(C49="","",VLOOKUP('OPĆI DIO'!$C$3,'OPĆI DIO'!$L$6:$U$138,10,FALSE))</f>
        <v>#N/A</v>
      </c>
      <c r="B49" s="79" t="e">
        <f>IF(C49="","",VLOOKUP('OPĆI DIO'!$C$3,'OPĆI DIO'!$L$6:$U$138,9,FALSE))</f>
        <v>#N/A</v>
      </c>
      <c r="C49" s="85">
        <v>43</v>
      </c>
      <c r="D49" s="80" t="str">
        <f t="shared" si="0"/>
        <v>Ostali prihodi za posebne namjene</v>
      </c>
      <c r="E49" s="85">
        <v>3121</v>
      </c>
      <c r="F49" s="80" t="str">
        <f t="shared" si="1"/>
        <v>Ostali rashodi za zaposlene</v>
      </c>
      <c r="G49" s="118" t="s">
        <v>177</v>
      </c>
      <c r="H49" s="80" t="str">
        <f t="shared" si="2"/>
        <v>REDOVNA DJELATNOST SVEUČILIŠTA U OSIJEKU (IZ EVIDENCIJSKIH PRIHODA)</v>
      </c>
      <c r="I49" s="80" t="str">
        <f t="shared" si="3"/>
        <v>0942</v>
      </c>
      <c r="J49" s="117">
        <v>13190</v>
      </c>
      <c r="K49" s="117">
        <f t="shared" si="12"/>
        <v>-1143</v>
      </c>
      <c r="L49" s="117">
        <v>12047</v>
      </c>
      <c r="M49" s="84"/>
      <c r="O49" s="75" t="str">
        <f t="shared" si="5"/>
        <v>312</v>
      </c>
      <c r="P49" s="75" t="str">
        <f t="shared" si="6"/>
        <v>31</v>
      </c>
      <c r="Q49" s="75" t="str">
        <f t="shared" si="7"/>
        <v>43</v>
      </c>
      <c r="R49" s="75" t="str">
        <f t="shared" si="9"/>
        <v>94</v>
      </c>
      <c r="V49" s="75">
        <v>3427</v>
      </c>
      <c r="W49" s="75" t="s">
        <v>188</v>
      </c>
      <c r="Y49" s="290" t="str">
        <f t="shared" si="13"/>
        <v>34</v>
      </c>
      <c r="Z49" s="75" t="str">
        <f t="shared" si="14"/>
        <v>342</v>
      </c>
      <c r="AB49" t="s">
        <v>1837</v>
      </c>
      <c r="AC49" t="s">
        <v>933</v>
      </c>
      <c r="AD49" s="75" t="s">
        <v>5139</v>
      </c>
      <c r="AE49" s="75" t="s">
        <v>5140</v>
      </c>
      <c r="AF49" s="75" t="s">
        <v>5165</v>
      </c>
      <c r="AG49" s="75" t="s">
        <v>5172</v>
      </c>
    </row>
    <row r="50" spans="1:33">
      <c r="A50" s="79"/>
      <c r="B50" s="79"/>
      <c r="C50" s="85">
        <v>43</v>
      </c>
      <c r="D50" s="80" t="str">
        <f t="shared" si="0"/>
        <v>Ostali prihodi za posebne namjene</v>
      </c>
      <c r="E50" s="85">
        <v>3211</v>
      </c>
      <c r="F50" s="80" t="str">
        <f t="shared" si="1"/>
        <v>Službena putovanja</v>
      </c>
      <c r="G50" s="118" t="s">
        <v>177</v>
      </c>
      <c r="H50" s="80" t="str">
        <f t="shared" si="2"/>
        <v>REDOVNA DJELATNOST SVEUČILIŠTA U OSIJEKU (IZ EVIDENCIJSKIH PRIHODA)</v>
      </c>
      <c r="I50" s="80" t="str">
        <f t="shared" si="3"/>
        <v>0942</v>
      </c>
      <c r="J50" s="117"/>
      <c r="K50" s="117">
        <f t="shared" si="12"/>
        <v>1073</v>
      </c>
      <c r="L50" s="117">
        <v>1073</v>
      </c>
      <c r="M50" s="84"/>
      <c r="O50" s="75" t="str">
        <f t="shared" si="5"/>
        <v>321</v>
      </c>
      <c r="P50" s="75" t="str">
        <f t="shared" si="6"/>
        <v>32</v>
      </c>
      <c r="Q50" s="75" t="str">
        <f t="shared" si="7"/>
        <v>43</v>
      </c>
      <c r="R50" s="75" t="str">
        <f t="shared" si="9"/>
        <v>94</v>
      </c>
      <c r="AB50"/>
      <c r="AC50"/>
    </row>
    <row r="51" spans="1:33">
      <c r="A51" s="79"/>
      <c r="B51" s="79"/>
      <c r="C51" s="85">
        <v>43</v>
      </c>
      <c r="D51" s="80" t="str">
        <f t="shared" si="0"/>
        <v>Ostali prihodi za posebne namjene</v>
      </c>
      <c r="E51" s="85">
        <v>3213</v>
      </c>
      <c r="F51" s="80" t="str">
        <f t="shared" si="1"/>
        <v>Stručno usavršavanje zaposlenika</v>
      </c>
      <c r="G51" s="118" t="s">
        <v>177</v>
      </c>
      <c r="H51" s="80" t="str">
        <f t="shared" si="2"/>
        <v>REDOVNA DJELATNOST SVEUČILIŠTA U OSIJEKU (IZ EVIDENCIJSKIH PRIHODA)</v>
      </c>
      <c r="I51" s="80" t="str">
        <f t="shared" si="3"/>
        <v>0942</v>
      </c>
      <c r="J51" s="117"/>
      <c r="K51" s="117">
        <f t="shared" si="12"/>
        <v>350</v>
      </c>
      <c r="L51" s="117">
        <v>350</v>
      </c>
      <c r="M51" s="84"/>
      <c r="O51" s="75" t="str">
        <f t="shared" si="5"/>
        <v>321</v>
      </c>
      <c r="P51" s="75" t="str">
        <f t="shared" si="6"/>
        <v>32</v>
      </c>
      <c r="Q51" s="75" t="str">
        <f t="shared" si="7"/>
        <v>43</v>
      </c>
      <c r="R51" s="75" t="str">
        <f t="shared" si="9"/>
        <v>94</v>
      </c>
      <c r="AB51"/>
      <c r="AC51"/>
    </row>
    <row r="52" spans="1:33">
      <c r="A52" s="79"/>
      <c r="B52" s="79"/>
      <c r="C52" s="85">
        <v>43</v>
      </c>
      <c r="D52" s="80" t="str">
        <f t="shared" si="0"/>
        <v>Ostali prihodi za posebne namjene</v>
      </c>
      <c r="E52" s="85">
        <v>3221</v>
      </c>
      <c r="F52" s="80" t="str">
        <f t="shared" si="1"/>
        <v>Uredski materijal i ostali materijalni rashodi</v>
      </c>
      <c r="G52" s="118" t="s">
        <v>177</v>
      </c>
      <c r="H52" s="80" t="str">
        <f t="shared" si="2"/>
        <v>REDOVNA DJELATNOST SVEUČILIŠTA U OSIJEKU (IZ EVIDENCIJSKIH PRIHODA)</v>
      </c>
      <c r="I52" s="80" t="str">
        <f t="shared" si="3"/>
        <v>0942</v>
      </c>
      <c r="J52" s="117"/>
      <c r="K52" s="117">
        <f t="shared" si="12"/>
        <v>5189</v>
      </c>
      <c r="L52" s="117">
        <v>5189</v>
      </c>
      <c r="M52" s="84"/>
      <c r="O52" s="75" t="str">
        <f t="shared" si="5"/>
        <v>322</v>
      </c>
      <c r="P52" s="75" t="str">
        <f t="shared" si="6"/>
        <v>32</v>
      </c>
      <c r="Q52" s="75" t="str">
        <f t="shared" si="7"/>
        <v>43</v>
      </c>
      <c r="R52" s="75" t="str">
        <f t="shared" si="9"/>
        <v>94</v>
      </c>
      <c r="AB52"/>
      <c r="AC52"/>
    </row>
    <row r="53" spans="1:33">
      <c r="A53" s="79"/>
      <c r="B53" s="79"/>
      <c r="C53" s="85">
        <v>43</v>
      </c>
      <c r="D53" s="80" t="str">
        <f t="shared" si="0"/>
        <v>Ostali prihodi za posebne namjene</v>
      </c>
      <c r="E53" s="85">
        <v>3223</v>
      </c>
      <c r="F53" s="80" t="str">
        <f t="shared" si="1"/>
        <v>Energija</v>
      </c>
      <c r="G53" s="118" t="s">
        <v>177</v>
      </c>
      <c r="H53" s="80" t="str">
        <f t="shared" si="2"/>
        <v>REDOVNA DJELATNOST SVEUČILIŠTA U OSIJEKU (IZ EVIDENCIJSKIH PRIHODA)</v>
      </c>
      <c r="I53" s="80" t="str">
        <f t="shared" si="3"/>
        <v>0942</v>
      </c>
      <c r="J53" s="117"/>
      <c r="K53" s="117">
        <f t="shared" si="12"/>
        <v>5050</v>
      </c>
      <c r="L53" s="117">
        <v>5050</v>
      </c>
      <c r="M53" s="84"/>
      <c r="O53" s="75" t="str">
        <f t="shared" si="5"/>
        <v>322</v>
      </c>
      <c r="P53" s="75" t="str">
        <f t="shared" si="6"/>
        <v>32</v>
      </c>
      <c r="Q53" s="75" t="str">
        <f t="shared" si="7"/>
        <v>43</v>
      </c>
      <c r="R53" s="75" t="str">
        <f t="shared" si="9"/>
        <v>94</v>
      </c>
      <c r="AB53"/>
      <c r="AC53"/>
    </row>
    <row r="54" spans="1:33">
      <c r="A54" s="79"/>
      <c r="B54" s="79"/>
      <c r="C54" s="85">
        <v>43</v>
      </c>
      <c r="D54" s="80" t="str">
        <f t="shared" si="0"/>
        <v>Ostali prihodi za posebne namjene</v>
      </c>
      <c r="E54" s="85">
        <v>3224</v>
      </c>
      <c r="F54" s="80" t="str">
        <f t="shared" si="1"/>
        <v>Materijal i dijelovi za tekuće i investicijsko održavanje</v>
      </c>
      <c r="G54" s="118" t="s">
        <v>177</v>
      </c>
      <c r="H54" s="80" t="str">
        <f t="shared" si="2"/>
        <v>REDOVNA DJELATNOST SVEUČILIŠTA U OSIJEKU (IZ EVIDENCIJSKIH PRIHODA)</v>
      </c>
      <c r="I54" s="80" t="str">
        <f t="shared" si="3"/>
        <v>0942</v>
      </c>
      <c r="J54" s="117"/>
      <c r="K54" s="117">
        <f t="shared" si="12"/>
        <v>567</v>
      </c>
      <c r="L54" s="117">
        <v>567</v>
      </c>
      <c r="M54" s="84"/>
      <c r="O54" s="75" t="str">
        <f t="shared" si="5"/>
        <v>322</v>
      </c>
      <c r="P54" s="75" t="str">
        <f t="shared" si="6"/>
        <v>32</v>
      </c>
      <c r="Q54" s="75" t="str">
        <f t="shared" si="7"/>
        <v>43</v>
      </c>
      <c r="R54" s="75" t="str">
        <f t="shared" si="9"/>
        <v>94</v>
      </c>
      <c r="AB54"/>
      <c r="AC54"/>
    </row>
    <row r="55" spans="1:33">
      <c r="A55" s="79" t="e">
        <f>IF(C55="","",VLOOKUP('OPĆI DIO'!$C$3,'OPĆI DIO'!$L$6:$U$138,10,FALSE))</f>
        <v>#N/A</v>
      </c>
      <c r="B55" s="79" t="e">
        <f>IF(C55="","",VLOOKUP('OPĆI DIO'!$C$3,'OPĆI DIO'!$L$6:$U$138,9,FALSE))</f>
        <v>#N/A</v>
      </c>
      <c r="C55" s="85">
        <v>43</v>
      </c>
      <c r="D55" s="80" t="str">
        <f t="shared" si="0"/>
        <v>Ostali prihodi za posebne namjene</v>
      </c>
      <c r="E55" s="85">
        <v>3225</v>
      </c>
      <c r="F55" s="80" t="str">
        <f t="shared" si="1"/>
        <v>Sitni inventar i auto gume</v>
      </c>
      <c r="G55" s="118" t="s">
        <v>177</v>
      </c>
      <c r="H55" s="80" t="str">
        <f t="shared" si="2"/>
        <v>REDOVNA DJELATNOST SVEUČILIŠTA U OSIJEKU (IZ EVIDENCIJSKIH PRIHODA)</v>
      </c>
      <c r="I55" s="80" t="str">
        <f t="shared" si="3"/>
        <v>0942</v>
      </c>
      <c r="J55" s="117">
        <v>143</v>
      </c>
      <c r="K55" s="117">
        <f t="shared" si="12"/>
        <v>157</v>
      </c>
      <c r="L55" s="117">
        <v>300</v>
      </c>
      <c r="M55" s="84"/>
      <c r="O55" s="75" t="str">
        <f t="shared" si="5"/>
        <v>322</v>
      </c>
      <c r="P55" s="75" t="str">
        <f t="shared" si="6"/>
        <v>32</v>
      </c>
      <c r="Q55" s="75" t="str">
        <f t="shared" si="7"/>
        <v>43</v>
      </c>
      <c r="R55" s="75" t="str">
        <f t="shared" si="9"/>
        <v>94</v>
      </c>
      <c r="V55" s="75">
        <v>3431</v>
      </c>
      <c r="W55" s="75" t="s">
        <v>82</v>
      </c>
      <c r="Y55" s="290" t="str">
        <f t="shared" si="13"/>
        <v>34</v>
      </c>
      <c r="Z55" s="75" t="str">
        <f t="shared" si="14"/>
        <v>343</v>
      </c>
      <c r="AB55" t="s">
        <v>1629</v>
      </c>
      <c r="AC55" t="s">
        <v>1630</v>
      </c>
      <c r="AD55" s="75" t="s">
        <v>5139</v>
      </c>
      <c r="AE55" s="75" t="s">
        <v>5140</v>
      </c>
      <c r="AF55" s="75" t="s">
        <v>5165</v>
      </c>
      <c r="AG55" s="75" t="s">
        <v>5172</v>
      </c>
    </row>
    <row r="56" spans="1:33">
      <c r="A56" s="79"/>
      <c r="B56" s="79"/>
      <c r="C56" s="85">
        <v>43</v>
      </c>
      <c r="D56" s="80" t="str">
        <f t="shared" si="0"/>
        <v>Ostali prihodi za posebne namjene</v>
      </c>
      <c r="E56" s="85">
        <v>3231</v>
      </c>
      <c r="F56" s="80" t="str">
        <f t="shared" si="1"/>
        <v>Usluge telefona, pošte i prijevoza</v>
      </c>
      <c r="G56" s="118" t="s">
        <v>177</v>
      </c>
      <c r="H56" s="80" t="str">
        <f t="shared" si="2"/>
        <v>REDOVNA DJELATNOST SVEUČILIŠTA U OSIJEKU (IZ EVIDENCIJSKIH PRIHODA)</v>
      </c>
      <c r="I56" s="80" t="str">
        <f t="shared" si="3"/>
        <v>0942</v>
      </c>
      <c r="J56" s="117"/>
      <c r="K56" s="117">
        <f t="shared" si="12"/>
        <v>1200</v>
      </c>
      <c r="L56" s="117">
        <v>1200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43</v>
      </c>
      <c r="R56" s="75" t="str">
        <f t="shared" si="9"/>
        <v>94</v>
      </c>
      <c r="AB56"/>
      <c r="AC56"/>
    </row>
    <row r="57" spans="1:33">
      <c r="A57" s="79"/>
      <c r="B57" s="79"/>
      <c r="C57" s="85">
        <v>43</v>
      </c>
      <c r="D57" s="80" t="str">
        <f t="shared" si="0"/>
        <v>Ostali prihodi za posebne namjene</v>
      </c>
      <c r="E57" s="85">
        <v>3232</v>
      </c>
      <c r="F57" s="80" t="str">
        <f t="shared" si="1"/>
        <v>Usluge tekućeg i investicijskog održavanja</v>
      </c>
      <c r="G57" s="118" t="s">
        <v>177</v>
      </c>
      <c r="H57" s="80" t="str">
        <f t="shared" si="2"/>
        <v>REDOVNA DJELATNOST SVEUČILIŠTA U OSIJEKU (IZ EVIDENCIJSKIH PRIHODA)</v>
      </c>
      <c r="I57" s="80" t="str">
        <f t="shared" si="3"/>
        <v>0942</v>
      </c>
      <c r="J57" s="117"/>
      <c r="K57" s="117">
        <f t="shared" si="12"/>
        <v>1740</v>
      </c>
      <c r="L57" s="117">
        <v>1740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43</v>
      </c>
      <c r="R57" s="75" t="str">
        <f t="shared" si="9"/>
        <v>94</v>
      </c>
      <c r="AB57"/>
      <c r="AC57"/>
    </row>
    <row r="58" spans="1:33">
      <c r="A58" s="79" t="e">
        <f>IF(C58="","",VLOOKUP('OPĆI DIO'!$C$3,'OPĆI DIO'!$L$6:$U$138,10,FALSE))</f>
        <v>#N/A</v>
      </c>
      <c r="B58" s="79" t="e">
        <f>IF(C58="","",VLOOKUP('OPĆI DIO'!$C$3,'OPĆI DIO'!$L$6:$U$138,9,FALSE))</f>
        <v>#N/A</v>
      </c>
      <c r="C58" s="85">
        <v>43</v>
      </c>
      <c r="D58" s="80" t="str">
        <f t="shared" si="0"/>
        <v>Ostali prihodi za posebne namjene</v>
      </c>
      <c r="E58" s="85">
        <v>3233</v>
      </c>
      <c r="F58" s="80" t="str">
        <f t="shared" si="1"/>
        <v>Usluge promidžbe i informiranja</v>
      </c>
      <c r="G58" s="118" t="s">
        <v>177</v>
      </c>
      <c r="H58" s="80" t="str">
        <f t="shared" si="2"/>
        <v>REDOVNA DJELATNOST SVEUČILIŠTA U OSIJEKU (IZ EVIDENCIJSKIH PRIHODA)</v>
      </c>
      <c r="I58" s="80" t="str">
        <f t="shared" si="3"/>
        <v>0942</v>
      </c>
      <c r="J58" s="117">
        <v>835</v>
      </c>
      <c r="K58" s="117">
        <f t="shared" si="12"/>
        <v>174</v>
      </c>
      <c r="L58" s="117">
        <v>1009</v>
      </c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43</v>
      </c>
      <c r="R58" s="75" t="str">
        <f t="shared" si="9"/>
        <v>94</v>
      </c>
      <c r="V58" s="75">
        <v>3432</v>
      </c>
      <c r="W58" s="75" t="s">
        <v>98</v>
      </c>
      <c r="Y58" s="290" t="str">
        <f t="shared" si="13"/>
        <v>34</v>
      </c>
      <c r="Z58" s="75" t="str">
        <f t="shared" si="14"/>
        <v>343</v>
      </c>
      <c r="AB58" t="s">
        <v>1838</v>
      </c>
      <c r="AC58" t="s">
        <v>1839</v>
      </c>
      <c r="AD58" s="75" t="s">
        <v>5153</v>
      </c>
      <c r="AE58" s="75" t="s">
        <v>5154</v>
      </c>
      <c r="AF58" s="75" t="s">
        <v>5167</v>
      </c>
      <c r="AG58" s="75" t="s">
        <v>5180</v>
      </c>
    </row>
    <row r="59" spans="1:33">
      <c r="A59" s="79"/>
      <c r="B59" s="79"/>
      <c r="C59" s="85">
        <v>43</v>
      </c>
      <c r="D59" s="80" t="str">
        <f t="shared" si="0"/>
        <v>Ostali prihodi za posebne namjene</v>
      </c>
      <c r="E59" s="85">
        <v>3234</v>
      </c>
      <c r="F59" s="80" t="str">
        <f t="shared" si="1"/>
        <v>Komunalne usluge</v>
      </c>
      <c r="G59" s="118" t="s">
        <v>177</v>
      </c>
      <c r="H59" s="80" t="str">
        <f t="shared" si="2"/>
        <v>REDOVNA DJELATNOST SVEUČILIŠTA U OSIJEKU (IZ EVIDENCIJSKIH PRIHODA)</v>
      </c>
      <c r="I59" s="80" t="str">
        <f t="shared" si="3"/>
        <v>0942</v>
      </c>
      <c r="J59" s="117"/>
      <c r="K59" s="117">
        <f t="shared" si="12"/>
        <v>3059</v>
      </c>
      <c r="L59" s="117">
        <v>3059</v>
      </c>
      <c r="M59" s="84"/>
      <c r="O59" s="75" t="str">
        <f t="shared" si="5"/>
        <v>323</v>
      </c>
      <c r="P59" s="75" t="str">
        <f t="shared" si="6"/>
        <v>32</v>
      </c>
      <c r="Q59" s="75" t="str">
        <f t="shared" si="7"/>
        <v>43</v>
      </c>
      <c r="R59" s="75" t="str">
        <f t="shared" si="9"/>
        <v>94</v>
      </c>
      <c r="AB59"/>
      <c r="AC59"/>
    </row>
    <row r="60" spans="1:33">
      <c r="A60" s="79"/>
      <c r="B60" s="79"/>
      <c r="C60" s="85">
        <v>43</v>
      </c>
      <c r="D60" s="80" t="str">
        <f t="shared" si="0"/>
        <v>Ostali prihodi za posebne namjene</v>
      </c>
      <c r="E60" s="85">
        <v>3235</v>
      </c>
      <c r="F60" s="80" t="str">
        <f t="shared" si="1"/>
        <v>Zakupnine i najamnine</v>
      </c>
      <c r="G60" s="118" t="s">
        <v>177</v>
      </c>
      <c r="H60" s="80" t="str">
        <f t="shared" si="2"/>
        <v>REDOVNA DJELATNOST SVEUČILIŠTA U OSIJEKU (IZ EVIDENCIJSKIH PRIHODA)</v>
      </c>
      <c r="I60" s="80" t="str">
        <f t="shared" si="3"/>
        <v>0942</v>
      </c>
      <c r="J60" s="117"/>
      <c r="K60" s="117">
        <f t="shared" si="12"/>
        <v>1831</v>
      </c>
      <c r="L60" s="117">
        <v>1831</v>
      </c>
      <c r="M60" s="84"/>
      <c r="O60" s="75" t="str">
        <f t="shared" si="5"/>
        <v>323</v>
      </c>
      <c r="P60" s="75" t="str">
        <f t="shared" si="6"/>
        <v>32</v>
      </c>
      <c r="Q60" s="75" t="str">
        <f t="shared" si="7"/>
        <v>43</v>
      </c>
      <c r="R60" s="75" t="str">
        <f t="shared" si="9"/>
        <v>94</v>
      </c>
      <c r="AB60"/>
      <c r="AC60"/>
    </row>
    <row r="61" spans="1:33">
      <c r="A61" s="79"/>
      <c r="B61" s="79"/>
      <c r="C61" s="85">
        <v>43</v>
      </c>
      <c r="D61" s="80" t="str">
        <f t="shared" si="0"/>
        <v>Ostali prihodi za posebne namjene</v>
      </c>
      <c r="E61" s="85">
        <v>3236</v>
      </c>
      <c r="F61" s="80" t="str">
        <f t="shared" si="1"/>
        <v>Zdravstvene i veterinarske usluge</v>
      </c>
      <c r="G61" s="118" t="s">
        <v>177</v>
      </c>
      <c r="H61" s="80" t="str">
        <f t="shared" si="2"/>
        <v>REDOVNA DJELATNOST SVEUČILIŠTA U OSIJEKU (IZ EVIDENCIJSKIH PRIHODA)</v>
      </c>
      <c r="I61" s="80" t="str">
        <f t="shared" si="3"/>
        <v>0942</v>
      </c>
      <c r="J61" s="117"/>
      <c r="K61" s="117">
        <f t="shared" si="12"/>
        <v>2479</v>
      </c>
      <c r="L61" s="117">
        <v>2479</v>
      </c>
      <c r="M61" s="84"/>
      <c r="O61" s="75" t="str">
        <f t="shared" si="5"/>
        <v>323</v>
      </c>
      <c r="P61" s="75" t="str">
        <f t="shared" si="6"/>
        <v>32</v>
      </c>
      <c r="Q61" s="75" t="str">
        <f t="shared" si="7"/>
        <v>43</v>
      </c>
      <c r="R61" s="75" t="str">
        <f t="shared" si="9"/>
        <v>94</v>
      </c>
      <c r="AB61"/>
      <c r="AC61"/>
    </row>
    <row r="62" spans="1:33">
      <c r="A62" s="79"/>
      <c r="B62" s="79"/>
      <c r="C62" s="85">
        <v>43</v>
      </c>
      <c r="D62" s="80" t="str">
        <f t="shared" si="0"/>
        <v>Ostali prihodi za posebne namjene</v>
      </c>
      <c r="E62" s="85">
        <v>3237</v>
      </c>
      <c r="F62" s="80" t="str">
        <f t="shared" si="1"/>
        <v>Intelektualne i osobne usluge</v>
      </c>
      <c r="G62" s="118" t="s">
        <v>177</v>
      </c>
      <c r="H62" s="80" t="str">
        <f t="shared" si="2"/>
        <v>REDOVNA DJELATNOST SVEUČILIŠTA U OSIJEKU (IZ EVIDENCIJSKIH PRIHODA)</v>
      </c>
      <c r="I62" s="80" t="str">
        <f t="shared" si="3"/>
        <v>0942</v>
      </c>
      <c r="J62" s="117"/>
      <c r="K62" s="117">
        <f t="shared" si="12"/>
        <v>5515</v>
      </c>
      <c r="L62" s="117">
        <v>5515</v>
      </c>
      <c r="M62" s="84"/>
      <c r="O62" s="75" t="str">
        <f t="shared" si="5"/>
        <v>323</v>
      </c>
      <c r="P62" s="75" t="str">
        <f t="shared" si="6"/>
        <v>32</v>
      </c>
      <c r="Q62" s="75" t="str">
        <f t="shared" si="7"/>
        <v>43</v>
      </c>
      <c r="R62" s="75" t="str">
        <f t="shared" si="9"/>
        <v>94</v>
      </c>
      <c r="AB62"/>
      <c r="AC62"/>
    </row>
    <row r="63" spans="1:33">
      <c r="A63" s="79"/>
      <c r="B63" s="79"/>
      <c r="C63" s="85">
        <v>43</v>
      </c>
      <c r="D63" s="80" t="str">
        <f t="shared" si="0"/>
        <v>Ostali prihodi za posebne namjene</v>
      </c>
      <c r="E63" s="85">
        <v>3238</v>
      </c>
      <c r="F63" s="80" t="str">
        <f t="shared" si="1"/>
        <v>Računalne usluge</v>
      </c>
      <c r="G63" s="118" t="s">
        <v>177</v>
      </c>
      <c r="H63" s="80" t="str">
        <f t="shared" si="2"/>
        <v>REDOVNA DJELATNOST SVEUČILIŠTA U OSIJEKU (IZ EVIDENCIJSKIH PRIHODA)</v>
      </c>
      <c r="I63" s="80" t="str">
        <f t="shared" si="3"/>
        <v>0942</v>
      </c>
      <c r="J63" s="117"/>
      <c r="K63" s="117">
        <f t="shared" si="12"/>
        <v>850</v>
      </c>
      <c r="L63" s="117">
        <v>850</v>
      </c>
      <c r="M63" s="84"/>
      <c r="O63" s="75" t="str">
        <f t="shared" si="5"/>
        <v>323</v>
      </c>
      <c r="P63" s="75" t="str">
        <f t="shared" si="6"/>
        <v>32</v>
      </c>
      <c r="Q63" s="75" t="str">
        <f t="shared" si="7"/>
        <v>43</v>
      </c>
      <c r="R63" s="75" t="str">
        <f t="shared" si="9"/>
        <v>94</v>
      </c>
      <c r="AB63"/>
      <c r="AC63"/>
    </row>
    <row r="64" spans="1:33">
      <c r="A64" s="79"/>
      <c r="B64" s="79"/>
      <c r="C64" s="85">
        <v>43</v>
      </c>
      <c r="D64" s="80" t="str">
        <f t="shared" si="0"/>
        <v>Ostali prihodi za posebne namjene</v>
      </c>
      <c r="E64" s="85">
        <v>3239</v>
      </c>
      <c r="F64" s="80" t="str">
        <f t="shared" si="1"/>
        <v>Ostale usluge</v>
      </c>
      <c r="G64" s="118" t="s">
        <v>177</v>
      </c>
      <c r="H64" s="80" t="str">
        <f t="shared" si="2"/>
        <v>REDOVNA DJELATNOST SVEUČILIŠTA U OSIJEKU (IZ EVIDENCIJSKIH PRIHODA)</v>
      </c>
      <c r="I64" s="80" t="str">
        <f t="shared" si="3"/>
        <v>0942</v>
      </c>
      <c r="J64" s="117"/>
      <c r="K64" s="117">
        <f t="shared" si="12"/>
        <v>3445</v>
      </c>
      <c r="L64" s="117">
        <v>3445</v>
      </c>
      <c r="M64" s="84"/>
      <c r="O64" s="75" t="str">
        <f t="shared" si="5"/>
        <v>323</v>
      </c>
      <c r="P64" s="75" t="str">
        <f t="shared" si="6"/>
        <v>32</v>
      </c>
      <c r="Q64" s="75" t="str">
        <f t="shared" si="7"/>
        <v>43</v>
      </c>
      <c r="R64" s="75" t="str">
        <f t="shared" si="9"/>
        <v>94</v>
      </c>
      <c r="AB64"/>
      <c r="AC64"/>
    </row>
    <row r="65" spans="1:33">
      <c r="A65" s="79" t="e">
        <f>IF(C65="","",VLOOKUP('OPĆI DIO'!$C$3,'OPĆI DIO'!$L$6:$U$138,10,FALSE))</f>
        <v>#N/A</v>
      </c>
      <c r="B65" s="79" t="e">
        <f>IF(C65="","",VLOOKUP('OPĆI DIO'!$C$3,'OPĆI DIO'!$L$6:$U$138,9,FALSE))</f>
        <v>#N/A</v>
      </c>
      <c r="C65" s="85">
        <v>43</v>
      </c>
      <c r="D65" s="80" t="str">
        <f t="shared" si="0"/>
        <v>Ostali prihodi za posebne namjene</v>
      </c>
      <c r="E65" s="85">
        <v>3241</v>
      </c>
      <c r="F65" s="80" t="str">
        <f t="shared" si="1"/>
        <v>Naknade troškova osobama izvan radnog odnosa</v>
      </c>
      <c r="G65" s="118" t="s">
        <v>177</v>
      </c>
      <c r="H65" s="80" t="str">
        <f t="shared" si="2"/>
        <v>REDOVNA DJELATNOST SVEUČILIŠTA U OSIJEKU (IZ EVIDENCIJSKIH PRIHODA)</v>
      </c>
      <c r="I65" s="80" t="str">
        <f t="shared" si="3"/>
        <v>0942</v>
      </c>
      <c r="J65" s="117">
        <v>250</v>
      </c>
      <c r="K65" s="117">
        <f t="shared" si="12"/>
        <v>17</v>
      </c>
      <c r="L65" s="117">
        <v>267</v>
      </c>
      <c r="M65" s="84"/>
      <c r="O65" s="75" t="str">
        <f t="shared" si="5"/>
        <v>324</v>
      </c>
      <c r="P65" s="75" t="str">
        <f t="shared" si="6"/>
        <v>32</v>
      </c>
      <c r="Q65" s="75" t="str">
        <f t="shared" si="7"/>
        <v>43</v>
      </c>
      <c r="R65" s="75" t="str">
        <f t="shared" si="9"/>
        <v>94</v>
      </c>
      <c r="V65" s="75">
        <v>3433</v>
      </c>
      <c r="W65" s="75" t="s">
        <v>136</v>
      </c>
      <c r="Y65" s="290" t="str">
        <f t="shared" si="13"/>
        <v>34</v>
      </c>
      <c r="Z65" s="75" t="str">
        <f t="shared" si="14"/>
        <v>343</v>
      </c>
      <c r="AB65" t="s">
        <v>1838</v>
      </c>
      <c r="AC65" t="s">
        <v>1839</v>
      </c>
      <c r="AD65" s="75" t="s">
        <v>5155</v>
      </c>
      <c r="AE65" s="75" t="s">
        <v>5156</v>
      </c>
      <c r="AF65" s="75" t="s">
        <v>5165</v>
      </c>
      <c r="AG65" s="75" t="s">
        <v>5176</v>
      </c>
    </row>
    <row r="66" spans="1:33">
      <c r="A66" s="79" t="e">
        <f>IF(C66="","",VLOOKUP('OPĆI DIO'!$C$3,'OPĆI DIO'!$L$6:$U$138,10,FALSE))</f>
        <v>#N/A</v>
      </c>
      <c r="B66" s="79" t="e">
        <f>IF(C66="","",VLOOKUP('OPĆI DIO'!$C$3,'OPĆI DIO'!$L$6:$U$138,9,FALSE))</f>
        <v>#N/A</v>
      </c>
      <c r="C66" s="85">
        <v>43</v>
      </c>
      <c r="D66" s="80" t="str">
        <f t="shared" si="0"/>
        <v>Ostali prihodi za posebne namjene</v>
      </c>
      <c r="E66" s="85">
        <v>3293</v>
      </c>
      <c r="F66" s="80" t="str">
        <f t="shared" si="1"/>
        <v>Reprezentacija</v>
      </c>
      <c r="G66" s="118" t="s">
        <v>177</v>
      </c>
      <c r="H66" s="80" t="str">
        <f t="shared" si="2"/>
        <v>REDOVNA DJELATNOST SVEUČILIŠTA U OSIJEKU (IZ EVIDENCIJSKIH PRIHODA)</v>
      </c>
      <c r="I66" s="80" t="str">
        <f t="shared" si="3"/>
        <v>0942</v>
      </c>
      <c r="J66" s="117">
        <v>3331</v>
      </c>
      <c r="K66" s="117">
        <f t="shared" si="12"/>
        <v>3979</v>
      </c>
      <c r="L66" s="117">
        <v>7310</v>
      </c>
      <c r="M66" s="84"/>
      <c r="O66" s="75" t="str">
        <f t="shared" si="5"/>
        <v>329</v>
      </c>
      <c r="P66" s="75" t="str">
        <f t="shared" si="6"/>
        <v>32</v>
      </c>
      <c r="Q66" s="75" t="str">
        <f t="shared" si="7"/>
        <v>43</v>
      </c>
      <c r="R66" s="75" t="str">
        <f t="shared" si="9"/>
        <v>94</v>
      </c>
      <c r="V66" s="75">
        <v>3434</v>
      </c>
      <c r="W66" s="75" t="s">
        <v>67</v>
      </c>
      <c r="Y66" s="290" t="str">
        <f t="shared" si="13"/>
        <v>34</v>
      </c>
      <c r="Z66" s="75" t="str">
        <f t="shared" si="14"/>
        <v>343</v>
      </c>
      <c r="AB66" t="s">
        <v>1840</v>
      </c>
      <c r="AC66" t="s">
        <v>1841</v>
      </c>
      <c r="AD66" s="75" t="s">
        <v>5155</v>
      </c>
      <c r="AE66" s="75" t="s">
        <v>5156</v>
      </c>
      <c r="AF66" s="75" t="s">
        <v>5165</v>
      </c>
      <c r="AG66" s="75" t="s">
        <v>5176</v>
      </c>
    </row>
    <row r="67" spans="1:33">
      <c r="A67" s="79" t="e">
        <f>IF(C67="","",VLOOKUP('OPĆI DIO'!$C$3,'OPĆI DIO'!$L$6:$U$138,10,FALSE))</f>
        <v>#N/A</v>
      </c>
      <c r="B67" s="79" t="e">
        <f>IF(C67="","",VLOOKUP('OPĆI DIO'!$C$3,'OPĆI DIO'!$L$6:$U$138,9,FALSE))</f>
        <v>#N/A</v>
      </c>
      <c r="C67" s="85">
        <v>43</v>
      </c>
      <c r="D67" s="80" t="str">
        <f t="shared" ref="D67:D130" si="15">IFERROR(VLOOKUP(C67,$S$6:$T$25,2,FALSE),"")</f>
        <v>Ostali prihodi za posebne namjene</v>
      </c>
      <c r="E67" s="85">
        <v>3294</v>
      </c>
      <c r="F67" s="80" t="str">
        <f t="shared" ref="F67:F130" si="16">IFERROR(VLOOKUP(E67,$V$5:$X$152,2,FALSE),"")</f>
        <v>Članarine i norme</v>
      </c>
      <c r="G67" s="118" t="s">
        <v>177</v>
      </c>
      <c r="H67" s="80" t="str">
        <f t="shared" ref="H67:H130" si="17">IFERROR(VLOOKUP(G67,$AB$6:$AC$350,2,FALSE),"")</f>
        <v>REDOVNA DJELATNOST SVEUČILIŠTA U OSIJEKU (IZ EVIDENCIJSKIH PRIHODA)</v>
      </c>
      <c r="I67" s="80" t="str">
        <f t="shared" ref="I67:I130" si="18">IFERROR(VLOOKUP(G67,$AB$6:$AF$350,3,FALSE),"")</f>
        <v>0942</v>
      </c>
      <c r="J67" s="117">
        <v>137</v>
      </c>
      <c r="K67" s="117">
        <f t="shared" ref="K67:K79" si="19">L67-J67</f>
        <v>238</v>
      </c>
      <c r="L67" s="117">
        <v>375</v>
      </c>
      <c r="M67" s="84"/>
      <c r="O67" s="75" t="str">
        <f t="shared" ref="O67:O130" si="20">LEFT(E67,3)</f>
        <v>329</v>
      </c>
      <c r="P67" s="75" t="str">
        <f t="shared" ref="P67:P130" si="21">LEFT(E67,2)</f>
        <v>32</v>
      </c>
      <c r="Q67" s="75" t="str">
        <f t="shared" ref="Q67:Q130" si="22">LEFT(C67,3)</f>
        <v>43</v>
      </c>
      <c r="R67" s="75" t="str">
        <f t="shared" si="9"/>
        <v>94</v>
      </c>
      <c r="V67" s="75">
        <v>3511</v>
      </c>
      <c r="W67" s="75" t="s">
        <v>179</v>
      </c>
      <c r="Y67" s="290" t="str">
        <f t="shared" si="13"/>
        <v>35</v>
      </c>
      <c r="Z67" s="75" t="str">
        <f t="shared" si="14"/>
        <v>351</v>
      </c>
      <c r="AB67" t="s">
        <v>1842</v>
      </c>
      <c r="AC67" t="s">
        <v>1843</v>
      </c>
      <c r="AD67" s="75" t="s">
        <v>5155</v>
      </c>
      <c r="AE67" s="75" t="s">
        <v>5156</v>
      </c>
      <c r="AF67" s="75" t="s">
        <v>5165</v>
      </c>
      <c r="AG67" s="75" t="s">
        <v>5176</v>
      </c>
    </row>
    <row r="68" spans="1:33">
      <c r="A68" s="79"/>
      <c r="B68" s="79"/>
      <c r="C68" s="85">
        <v>43</v>
      </c>
      <c r="D68" s="80" t="str">
        <f t="shared" si="15"/>
        <v>Ostali prihodi za posebne namjene</v>
      </c>
      <c r="E68" s="85">
        <v>3299</v>
      </c>
      <c r="F68" s="80" t="str">
        <f t="shared" si="16"/>
        <v>Ostali nespomenuti rashodi poslovanja</v>
      </c>
      <c r="G68" s="118" t="s">
        <v>177</v>
      </c>
      <c r="H68" s="80" t="str">
        <f t="shared" si="17"/>
        <v>REDOVNA DJELATNOST SVEUČILIŠTA U OSIJEKU (IZ EVIDENCIJSKIH PRIHODA)</v>
      </c>
      <c r="I68" s="80" t="str">
        <f t="shared" si="18"/>
        <v>0942</v>
      </c>
      <c r="J68" s="117"/>
      <c r="K68" s="117">
        <f t="shared" si="19"/>
        <v>8188</v>
      </c>
      <c r="L68" s="117">
        <v>8188</v>
      </c>
      <c r="M68" s="84"/>
      <c r="O68" s="75" t="str">
        <f t="shared" si="20"/>
        <v>329</v>
      </c>
      <c r="P68" s="75" t="str">
        <f t="shared" si="21"/>
        <v>32</v>
      </c>
      <c r="Q68" s="75" t="str">
        <f t="shared" si="22"/>
        <v>43</v>
      </c>
      <c r="R68" s="75" t="str">
        <f t="shared" si="9"/>
        <v>94</v>
      </c>
      <c r="AB68"/>
      <c r="AC68"/>
    </row>
    <row r="69" spans="1:33">
      <c r="A69" s="79"/>
      <c r="B69" s="79"/>
      <c r="C69" s="85">
        <v>43</v>
      </c>
      <c r="D69" s="80" t="str">
        <f t="shared" si="15"/>
        <v>Ostali prihodi za posebne namjene</v>
      </c>
      <c r="E69" s="85">
        <v>3431</v>
      </c>
      <c r="F69" s="80" t="str">
        <f t="shared" si="16"/>
        <v>Bankarske usluge i usluge platnog prometa</v>
      </c>
      <c r="G69" s="118" t="s">
        <v>177</v>
      </c>
      <c r="H69" s="80" t="str">
        <f t="shared" si="17"/>
        <v>REDOVNA DJELATNOST SVEUČILIŠTA U OSIJEKU (IZ EVIDENCIJSKIH PRIHODA)</v>
      </c>
      <c r="I69" s="80" t="str">
        <f t="shared" si="18"/>
        <v>0942</v>
      </c>
      <c r="J69" s="117"/>
      <c r="K69" s="117">
        <f t="shared" si="19"/>
        <v>500</v>
      </c>
      <c r="L69" s="117">
        <v>500</v>
      </c>
      <c r="M69" s="84"/>
      <c r="O69" s="75" t="str">
        <f t="shared" si="20"/>
        <v>343</v>
      </c>
      <c r="P69" s="75" t="str">
        <f t="shared" si="21"/>
        <v>34</v>
      </c>
      <c r="Q69" s="75" t="str">
        <f t="shared" si="22"/>
        <v>43</v>
      </c>
      <c r="R69" s="75" t="str">
        <f t="shared" si="9"/>
        <v>94</v>
      </c>
      <c r="AB69"/>
      <c r="AC69"/>
    </row>
    <row r="70" spans="1:33">
      <c r="A70" s="79"/>
      <c r="B70" s="79"/>
      <c r="C70" s="85">
        <v>43</v>
      </c>
      <c r="D70" s="80" t="str">
        <f t="shared" si="15"/>
        <v>Ostali prihodi za posebne namjene</v>
      </c>
      <c r="E70" s="85">
        <v>4221</v>
      </c>
      <c r="F70" s="80" t="str">
        <f t="shared" si="16"/>
        <v>Uredska oprema i namještaj</v>
      </c>
      <c r="G70" s="118" t="s">
        <v>177</v>
      </c>
      <c r="H70" s="80" t="str">
        <f t="shared" si="17"/>
        <v>REDOVNA DJELATNOST SVEUČILIŠTA U OSIJEKU (IZ EVIDENCIJSKIH PRIHODA)</v>
      </c>
      <c r="I70" s="80" t="str">
        <f t="shared" si="18"/>
        <v>0942</v>
      </c>
      <c r="J70" s="117"/>
      <c r="K70" s="117">
        <f t="shared" si="19"/>
        <v>2500</v>
      </c>
      <c r="L70" s="117">
        <v>2500</v>
      </c>
      <c r="M70" s="84"/>
      <c r="O70" s="75" t="str">
        <f t="shared" si="20"/>
        <v>422</v>
      </c>
      <c r="P70" s="75" t="str">
        <f t="shared" si="21"/>
        <v>42</v>
      </c>
      <c r="Q70" s="75" t="str">
        <f t="shared" si="22"/>
        <v>43</v>
      </c>
      <c r="R70" s="75" t="str">
        <f t="shared" si="9"/>
        <v>94</v>
      </c>
      <c r="AB70"/>
      <c r="AC70"/>
    </row>
    <row r="71" spans="1:33">
      <c r="A71" s="79"/>
      <c r="B71" s="79"/>
      <c r="C71" s="85">
        <v>43</v>
      </c>
      <c r="D71" s="80" t="str">
        <f t="shared" si="15"/>
        <v>Ostali prihodi za posebne namjene</v>
      </c>
      <c r="E71" s="85">
        <v>4223</v>
      </c>
      <c r="F71" s="80" t="str">
        <f t="shared" si="16"/>
        <v>Oprema za održavanje i zaštitu</v>
      </c>
      <c r="G71" s="118" t="s">
        <v>177</v>
      </c>
      <c r="H71" s="80" t="str">
        <f t="shared" si="17"/>
        <v>REDOVNA DJELATNOST SVEUČILIŠTA U OSIJEKU (IZ EVIDENCIJSKIH PRIHODA)</v>
      </c>
      <c r="I71" s="80" t="str">
        <f t="shared" si="18"/>
        <v>0942</v>
      </c>
      <c r="J71" s="117"/>
      <c r="K71" s="117">
        <f t="shared" si="19"/>
        <v>21438</v>
      </c>
      <c r="L71" s="117">
        <v>21438</v>
      </c>
      <c r="M71" s="84"/>
      <c r="O71" s="75" t="str">
        <f t="shared" si="20"/>
        <v>422</v>
      </c>
      <c r="P71" s="75" t="str">
        <f t="shared" si="21"/>
        <v>42</v>
      </c>
      <c r="Q71" s="75" t="str">
        <f t="shared" si="22"/>
        <v>43</v>
      </c>
      <c r="R71" s="75" t="str">
        <f t="shared" si="9"/>
        <v>94</v>
      </c>
      <c r="AB71"/>
      <c r="AC71"/>
    </row>
    <row r="72" spans="1:33">
      <c r="A72" s="79" t="e">
        <f>IF(C72="","",VLOOKUP('OPĆI DIO'!$C$3,'OPĆI DIO'!$L$6:$U$138,10,FALSE))</f>
        <v>#N/A</v>
      </c>
      <c r="B72" s="79" t="e">
        <f>IF(C72="","",VLOOKUP('OPĆI DIO'!$C$3,'OPĆI DIO'!$L$6:$U$138,9,FALSE))</f>
        <v>#N/A</v>
      </c>
      <c r="C72" s="85">
        <v>31</v>
      </c>
      <c r="D72" s="80" t="str">
        <f t="shared" si="15"/>
        <v>Vlastiti prihodi</v>
      </c>
      <c r="E72" s="85">
        <v>3233</v>
      </c>
      <c r="F72" s="80" t="str">
        <f t="shared" si="16"/>
        <v>Usluge promidžbe i informiranja</v>
      </c>
      <c r="G72" s="118" t="s">
        <v>177</v>
      </c>
      <c r="H72" s="80" t="str">
        <f t="shared" si="17"/>
        <v>REDOVNA DJELATNOST SVEUČILIŠTA U OSIJEKU (IZ EVIDENCIJSKIH PRIHODA)</v>
      </c>
      <c r="I72" s="80" t="str">
        <f t="shared" si="18"/>
        <v>0942</v>
      </c>
      <c r="J72" s="117"/>
      <c r="K72" s="117">
        <f t="shared" si="19"/>
        <v>450</v>
      </c>
      <c r="L72" s="117">
        <v>450</v>
      </c>
      <c r="M72" s="84"/>
      <c r="O72" s="75" t="str">
        <f t="shared" si="20"/>
        <v>323</v>
      </c>
      <c r="P72" s="75" t="str">
        <f t="shared" si="21"/>
        <v>32</v>
      </c>
      <c r="Q72" s="75" t="str">
        <f t="shared" si="22"/>
        <v>31</v>
      </c>
      <c r="R72" s="75" t="str">
        <f t="shared" si="9"/>
        <v>94</v>
      </c>
      <c r="V72" s="75">
        <v>3512</v>
      </c>
      <c r="W72" s="75" t="s">
        <v>181</v>
      </c>
      <c r="Y72" s="290" t="str">
        <f t="shared" si="13"/>
        <v>35</v>
      </c>
      <c r="Z72" s="75" t="str">
        <f t="shared" si="14"/>
        <v>351</v>
      </c>
      <c r="AB72" t="s">
        <v>1844</v>
      </c>
      <c r="AC72" t="s">
        <v>933</v>
      </c>
      <c r="AD72" s="75" t="s">
        <v>5153</v>
      </c>
      <c r="AE72" s="75" t="s">
        <v>5154</v>
      </c>
      <c r="AF72" s="75" t="s">
        <v>5167</v>
      </c>
      <c r="AG72" s="75" t="s">
        <v>5180</v>
      </c>
    </row>
    <row r="73" spans="1:33">
      <c r="A73" s="79" t="e">
        <f>IF(C73="","",VLOOKUP('OPĆI DIO'!$C$3,'OPĆI DIO'!$L$6:$U$138,10,FALSE))</f>
        <v>#N/A</v>
      </c>
      <c r="B73" s="79" t="e">
        <f>IF(C73="","",VLOOKUP('OPĆI DIO'!$C$3,'OPĆI DIO'!$L$6:$U$138,9,FALSE))</f>
        <v>#N/A</v>
      </c>
      <c r="C73" s="85">
        <v>31</v>
      </c>
      <c r="D73" s="80" t="str">
        <f t="shared" si="15"/>
        <v>Vlastiti prihodi</v>
      </c>
      <c r="E73" s="85">
        <v>3237</v>
      </c>
      <c r="F73" s="80" t="str">
        <f t="shared" si="16"/>
        <v>Intelektualne i osobne usluge</v>
      </c>
      <c r="G73" s="118" t="s">
        <v>177</v>
      </c>
      <c r="H73" s="80" t="str">
        <f t="shared" si="17"/>
        <v>REDOVNA DJELATNOST SVEUČILIŠTA U OSIJEKU (IZ EVIDENCIJSKIH PRIHODA)</v>
      </c>
      <c r="I73" s="80" t="str">
        <f t="shared" si="18"/>
        <v>0942</v>
      </c>
      <c r="J73" s="117"/>
      <c r="K73" s="117">
        <f t="shared" si="19"/>
        <v>23246</v>
      </c>
      <c r="L73" s="117">
        <v>23246</v>
      </c>
      <c r="M73" s="84"/>
      <c r="O73" s="75" t="str">
        <f t="shared" si="20"/>
        <v>323</v>
      </c>
      <c r="P73" s="75" t="str">
        <f t="shared" si="21"/>
        <v>32</v>
      </c>
      <c r="Q73" s="75" t="str">
        <f t="shared" si="22"/>
        <v>31</v>
      </c>
      <c r="R73" s="75" t="str">
        <f t="shared" si="9"/>
        <v>94</v>
      </c>
      <c r="V73" s="75">
        <v>3522</v>
      </c>
      <c r="W73" s="75" t="s">
        <v>234</v>
      </c>
      <c r="Y73" s="290" t="str">
        <f t="shared" si="13"/>
        <v>35</v>
      </c>
      <c r="Z73" s="75" t="str">
        <f t="shared" si="14"/>
        <v>352</v>
      </c>
      <c r="AB73" t="s">
        <v>1631</v>
      </c>
      <c r="AC73" t="s">
        <v>1116</v>
      </c>
      <c r="AD73" s="75" t="s">
        <v>5155</v>
      </c>
      <c r="AE73" s="75" t="s">
        <v>5156</v>
      </c>
      <c r="AF73" s="75" t="s">
        <v>5165</v>
      </c>
      <c r="AG73" s="75" t="s">
        <v>5176</v>
      </c>
    </row>
    <row r="74" spans="1:33">
      <c r="A74" s="79" t="e">
        <f>IF(C74="","",VLOOKUP('OPĆI DIO'!$C$3,'OPĆI DIO'!$L$6:$U$138,10,FALSE))</f>
        <v>#N/A</v>
      </c>
      <c r="B74" s="79" t="e">
        <f>IF(C74="","",VLOOKUP('OPĆI DIO'!$C$3,'OPĆI DIO'!$L$6:$U$138,9,FALSE))</f>
        <v>#N/A</v>
      </c>
      <c r="C74" s="85">
        <v>31</v>
      </c>
      <c r="D74" s="80" t="str">
        <f t="shared" si="15"/>
        <v>Vlastiti prihodi</v>
      </c>
      <c r="E74" s="85">
        <v>3239</v>
      </c>
      <c r="F74" s="80" t="str">
        <f t="shared" si="16"/>
        <v>Ostale usluge</v>
      </c>
      <c r="G74" s="118" t="s">
        <v>177</v>
      </c>
      <c r="H74" s="80" t="str">
        <f t="shared" si="17"/>
        <v>REDOVNA DJELATNOST SVEUČILIŠTA U OSIJEKU (IZ EVIDENCIJSKIH PRIHODA)</v>
      </c>
      <c r="I74" s="80" t="str">
        <f t="shared" si="18"/>
        <v>0942</v>
      </c>
      <c r="J74" s="117"/>
      <c r="K74" s="117">
        <f t="shared" si="19"/>
        <v>873</v>
      </c>
      <c r="L74" s="117">
        <v>873</v>
      </c>
      <c r="M74" s="84"/>
      <c r="O74" s="75" t="str">
        <f t="shared" si="20"/>
        <v>323</v>
      </c>
      <c r="P74" s="75" t="str">
        <f t="shared" si="21"/>
        <v>32</v>
      </c>
      <c r="Q74" s="75" t="str">
        <f t="shared" si="22"/>
        <v>31</v>
      </c>
      <c r="R74" s="75" t="str">
        <f t="shared" ref="R74:R80" si="23">MID(I74,2,2)</f>
        <v>94</v>
      </c>
      <c r="V74" s="75">
        <v>3531</v>
      </c>
      <c r="W74" s="75" t="s">
        <v>133</v>
      </c>
      <c r="Y74" s="290" t="str">
        <f t="shared" si="13"/>
        <v>35</v>
      </c>
      <c r="Z74" s="75" t="str">
        <f t="shared" si="14"/>
        <v>353</v>
      </c>
      <c r="AB74" t="s">
        <v>1845</v>
      </c>
      <c r="AC74" t="s">
        <v>1846</v>
      </c>
      <c r="AD74" s="75" t="s">
        <v>5155</v>
      </c>
      <c r="AE74" s="75" t="s">
        <v>5156</v>
      </c>
      <c r="AF74" s="75" t="s">
        <v>5165</v>
      </c>
      <c r="AG74" s="75" t="s">
        <v>5176</v>
      </c>
    </row>
    <row r="75" spans="1:33">
      <c r="A75" s="79" t="e">
        <f>IF(C75="","",VLOOKUP('OPĆI DIO'!$C$3,'OPĆI DIO'!$L$6:$U$138,10,FALSE))</f>
        <v>#N/A</v>
      </c>
      <c r="B75" s="79" t="e">
        <f>IF(C75="","",VLOOKUP('OPĆI DIO'!$C$3,'OPĆI DIO'!$L$6:$U$138,9,FALSE))</f>
        <v>#N/A</v>
      </c>
      <c r="C75" s="85">
        <v>31</v>
      </c>
      <c r="D75" s="80" t="str">
        <f t="shared" si="15"/>
        <v>Vlastiti prihodi</v>
      </c>
      <c r="E75" s="85">
        <v>3241</v>
      </c>
      <c r="F75" s="80" t="str">
        <f t="shared" si="16"/>
        <v>Naknade troškova osobama izvan radnog odnosa</v>
      </c>
      <c r="G75" s="118" t="s">
        <v>177</v>
      </c>
      <c r="H75" s="80" t="str">
        <f t="shared" si="17"/>
        <v>REDOVNA DJELATNOST SVEUČILIŠTA U OSIJEKU (IZ EVIDENCIJSKIH PRIHODA)</v>
      </c>
      <c r="I75" s="80" t="str">
        <f t="shared" si="18"/>
        <v>0942</v>
      </c>
      <c r="J75" s="117"/>
      <c r="K75" s="117">
        <f t="shared" si="19"/>
        <v>1803</v>
      </c>
      <c r="L75" s="117">
        <v>1803</v>
      </c>
      <c r="M75" s="84"/>
      <c r="O75" s="75" t="str">
        <f t="shared" si="20"/>
        <v>324</v>
      </c>
      <c r="P75" s="75" t="str">
        <f t="shared" si="21"/>
        <v>32</v>
      </c>
      <c r="Q75" s="75" t="str">
        <f t="shared" si="22"/>
        <v>31</v>
      </c>
      <c r="R75" s="75" t="str">
        <f t="shared" si="23"/>
        <v>94</v>
      </c>
      <c r="V75" s="75">
        <v>3611</v>
      </c>
      <c r="W75" s="75" t="s">
        <v>87</v>
      </c>
      <c r="Y75" s="290" t="str">
        <f t="shared" si="13"/>
        <v>36</v>
      </c>
      <c r="Z75" s="75" t="str">
        <f t="shared" si="14"/>
        <v>361</v>
      </c>
      <c r="AB75" t="s">
        <v>1632</v>
      </c>
      <c r="AC75" t="s">
        <v>1633</v>
      </c>
      <c r="AD75" s="75" t="s">
        <v>5155</v>
      </c>
      <c r="AE75" s="75" t="s">
        <v>5156</v>
      </c>
      <c r="AF75" s="75" t="s">
        <v>5165</v>
      </c>
      <c r="AG75" s="75" t="s">
        <v>5176</v>
      </c>
    </row>
    <row r="76" spans="1:33">
      <c r="A76" s="79" t="e">
        <f>IF(C76="","",VLOOKUP('OPĆI DIO'!$C$3,'OPĆI DIO'!$L$6:$U$138,10,FALSE))</f>
        <v>#N/A</v>
      </c>
      <c r="B76" s="79" t="e">
        <f>IF(C76="","",VLOOKUP('OPĆI DIO'!$C$3,'OPĆI DIO'!$L$6:$U$138,9,FALSE))</f>
        <v>#N/A</v>
      </c>
      <c r="C76" s="85">
        <v>31</v>
      </c>
      <c r="D76" s="80" t="str">
        <f t="shared" si="15"/>
        <v>Vlastiti prihodi</v>
      </c>
      <c r="E76" s="85">
        <v>3293</v>
      </c>
      <c r="F76" s="80" t="str">
        <f t="shared" si="16"/>
        <v>Reprezentacija</v>
      </c>
      <c r="G76" s="118" t="s">
        <v>177</v>
      </c>
      <c r="H76" s="80" t="str">
        <f t="shared" si="17"/>
        <v>REDOVNA DJELATNOST SVEUČILIŠTA U OSIJEKU (IZ EVIDENCIJSKIH PRIHODA)</v>
      </c>
      <c r="I76" s="80" t="str">
        <f t="shared" si="18"/>
        <v>0942</v>
      </c>
      <c r="J76" s="117"/>
      <c r="K76" s="117">
        <f t="shared" si="19"/>
        <v>2495</v>
      </c>
      <c r="L76" s="117">
        <v>2495</v>
      </c>
      <c r="M76" s="84"/>
      <c r="O76" s="75" t="str">
        <f t="shared" si="20"/>
        <v>329</v>
      </c>
      <c r="P76" s="75" t="str">
        <f t="shared" si="21"/>
        <v>32</v>
      </c>
      <c r="Q76" s="75" t="str">
        <f t="shared" si="22"/>
        <v>31</v>
      </c>
      <c r="R76" s="75" t="str">
        <f t="shared" si="23"/>
        <v>94</v>
      </c>
      <c r="V76" s="75">
        <v>3621</v>
      </c>
      <c r="W76" s="75" t="s">
        <v>137</v>
      </c>
      <c r="Y76" s="290" t="str">
        <f t="shared" si="13"/>
        <v>36</v>
      </c>
      <c r="Z76" s="75" t="str">
        <f t="shared" si="14"/>
        <v>362</v>
      </c>
      <c r="AB76" t="s">
        <v>1847</v>
      </c>
      <c r="AC76" t="s">
        <v>1848</v>
      </c>
      <c r="AD76" s="75" t="s">
        <v>5157</v>
      </c>
      <c r="AE76" s="75" t="s">
        <v>5158</v>
      </c>
      <c r="AF76" s="75" t="s">
        <v>5165</v>
      </c>
      <c r="AG76" s="75" t="s">
        <v>5178</v>
      </c>
    </row>
    <row r="77" spans="1:33">
      <c r="A77" s="79" t="e">
        <f>IF(C77="","",VLOOKUP('OPĆI DIO'!$C$3,'OPĆI DIO'!$L$6:$U$138,10,FALSE))</f>
        <v>#N/A</v>
      </c>
      <c r="B77" s="79" t="e">
        <f>IF(C77="","",VLOOKUP('OPĆI DIO'!$C$3,'OPĆI DIO'!$L$6:$U$138,9,FALSE))</f>
        <v>#N/A</v>
      </c>
      <c r="C77" s="85">
        <v>31</v>
      </c>
      <c r="D77" s="80" t="str">
        <f t="shared" si="15"/>
        <v>Vlastiti prihodi</v>
      </c>
      <c r="E77" s="85">
        <v>3299</v>
      </c>
      <c r="F77" s="80" t="str">
        <f t="shared" si="16"/>
        <v>Ostali nespomenuti rashodi poslovanja</v>
      </c>
      <c r="G77" s="118" t="s">
        <v>177</v>
      </c>
      <c r="H77" s="80" t="str">
        <f t="shared" si="17"/>
        <v>REDOVNA DJELATNOST SVEUČILIŠTA U OSIJEKU (IZ EVIDENCIJSKIH PRIHODA)</v>
      </c>
      <c r="I77" s="80" t="str">
        <f t="shared" si="18"/>
        <v>0942</v>
      </c>
      <c r="J77" s="117"/>
      <c r="K77" s="117">
        <f t="shared" si="19"/>
        <v>2740</v>
      </c>
      <c r="L77" s="117">
        <v>2740</v>
      </c>
      <c r="M77" s="84"/>
      <c r="O77" s="75" t="str">
        <f t="shared" si="20"/>
        <v>329</v>
      </c>
      <c r="P77" s="75" t="str">
        <f t="shared" si="21"/>
        <v>32</v>
      </c>
      <c r="Q77" s="75" t="str">
        <f t="shared" si="22"/>
        <v>31</v>
      </c>
      <c r="R77" s="75" t="str">
        <f t="shared" si="23"/>
        <v>94</v>
      </c>
      <c r="V77" s="75">
        <v>3631</v>
      </c>
      <c r="W77" s="75" t="s">
        <v>178</v>
      </c>
      <c r="Y77" s="290" t="str">
        <f t="shared" si="13"/>
        <v>36</v>
      </c>
      <c r="Z77" s="75" t="str">
        <f t="shared" si="14"/>
        <v>363</v>
      </c>
      <c r="AB77" t="s">
        <v>1849</v>
      </c>
      <c r="AC77" t="s">
        <v>1850</v>
      </c>
      <c r="AD77" s="75" t="s">
        <v>5157</v>
      </c>
      <c r="AE77" s="75" t="s">
        <v>5158</v>
      </c>
      <c r="AF77" s="75" t="s">
        <v>5165</v>
      </c>
      <c r="AG77" s="75" t="s">
        <v>5178</v>
      </c>
    </row>
    <row r="78" spans="1:33">
      <c r="A78" s="79" t="e">
        <f>IF(C78="","",VLOOKUP('OPĆI DIO'!$C$3,'OPĆI DIO'!$L$6:$U$138,10,FALSE))</f>
        <v>#N/A</v>
      </c>
      <c r="B78" s="79" t="e">
        <f>IF(C78="","",VLOOKUP('OPĆI DIO'!$C$3,'OPĆI DIO'!$L$6:$U$138,9,FALSE))</f>
        <v>#N/A</v>
      </c>
      <c r="C78" s="85">
        <v>31</v>
      </c>
      <c r="D78" s="80" t="str">
        <f t="shared" si="15"/>
        <v>Vlastiti prihodi</v>
      </c>
      <c r="E78" s="85">
        <v>3431</v>
      </c>
      <c r="F78" s="80" t="str">
        <f t="shared" si="16"/>
        <v>Bankarske usluge i usluge platnog prometa</v>
      </c>
      <c r="G78" s="118" t="s">
        <v>177</v>
      </c>
      <c r="H78" s="80" t="str">
        <f t="shared" si="17"/>
        <v>REDOVNA DJELATNOST SVEUČILIŠTA U OSIJEKU (IZ EVIDENCIJSKIH PRIHODA)</v>
      </c>
      <c r="I78" s="80" t="str">
        <f t="shared" si="18"/>
        <v>0942</v>
      </c>
      <c r="J78" s="117"/>
      <c r="K78" s="117">
        <f t="shared" si="19"/>
        <v>70</v>
      </c>
      <c r="L78" s="117">
        <v>70</v>
      </c>
      <c r="M78" s="84"/>
      <c r="O78" s="75" t="str">
        <f t="shared" si="20"/>
        <v>343</v>
      </c>
      <c r="P78" s="75" t="str">
        <f t="shared" si="21"/>
        <v>34</v>
      </c>
      <c r="Q78" s="75" t="str">
        <f t="shared" si="22"/>
        <v>31</v>
      </c>
      <c r="R78" s="75" t="str">
        <f t="shared" si="23"/>
        <v>94</v>
      </c>
      <c r="V78" s="75">
        <v>3632</v>
      </c>
      <c r="W78" s="75" t="s">
        <v>235</v>
      </c>
      <c r="Y78" s="290" t="str">
        <f t="shared" si="13"/>
        <v>36</v>
      </c>
      <c r="Z78" s="75" t="str">
        <f t="shared" si="14"/>
        <v>363</v>
      </c>
      <c r="AB78" t="s">
        <v>1851</v>
      </c>
      <c r="AC78" t="s">
        <v>1852</v>
      </c>
      <c r="AD78" s="75" t="s">
        <v>5157</v>
      </c>
      <c r="AE78" s="75" t="s">
        <v>5158</v>
      </c>
      <c r="AF78" s="75" t="s">
        <v>5165</v>
      </c>
      <c r="AG78" s="75" t="s">
        <v>5178</v>
      </c>
    </row>
    <row r="79" spans="1:33">
      <c r="A79" s="79" t="e">
        <f>IF(C79="","",VLOOKUP('OPĆI DIO'!$C$3,'OPĆI DIO'!$L$6:$U$138,10,FALSE))</f>
        <v>#N/A</v>
      </c>
      <c r="B79" s="79" t="e">
        <f>IF(C79="","",VLOOKUP('OPĆI DIO'!$C$3,'OPĆI DIO'!$L$6:$U$138,9,FALSE))</f>
        <v>#N/A</v>
      </c>
      <c r="C79" s="85">
        <v>31</v>
      </c>
      <c r="D79" s="80" t="str">
        <f t="shared" si="15"/>
        <v>Vlastiti prihodi</v>
      </c>
      <c r="E79" s="85">
        <v>3432</v>
      </c>
      <c r="F79" s="80" t="str">
        <f t="shared" si="16"/>
        <v>Negativne tečajne razlike i razlike zbog primjene valutne kl</v>
      </c>
      <c r="G79" s="118" t="s">
        <v>177</v>
      </c>
      <c r="H79" s="80" t="str">
        <f t="shared" si="17"/>
        <v>REDOVNA DJELATNOST SVEUČILIŠTA U OSIJEKU (IZ EVIDENCIJSKIH PRIHODA)</v>
      </c>
      <c r="I79" s="80" t="str">
        <f t="shared" si="18"/>
        <v>0942</v>
      </c>
      <c r="J79" s="117"/>
      <c r="K79" s="117">
        <f t="shared" si="19"/>
        <v>15</v>
      </c>
      <c r="L79" s="117">
        <v>15</v>
      </c>
      <c r="M79" s="84"/>
      <c r="O79" s="75" t="str">
        <f t="shared" si="20"/>
        <v>343</v>
      </c>
      <c r="P79" s="75" t="str">
        <f t="shared" si="21"/>
        <v>34</v>
      </c>
      <c r="Q79" s="75" t="str">
        <f t="shared" si="22"/>
        <v>31</v>
      </c>
      <c r="R79" s="75" t="str">
        <f t="shared" si="23"/>
        <v>94</v>
      </c>
      <c r="V79" s="75">
        <v>3661</v>
      </c>
      <c r="W79" s="75" t="s">
        <v>99</v>
      </c>
      <c r="Y79" s="290" t="str">
        <f t="shared" si="13"/>
        <v>36</v>
      </c>
      <c r="Z79" s="75" t="str">
        <f t="shared" si="14"/>
        <v>366</v>
      </c>
      <c r="AB79" t="s">
        <v>1853</v>
      </c>
      <c r="AC79" t="s">
        <v>1854</v>
      </c>
      <c r="AD79" s="75" t="s">
        <v>5157</v>
      </c>
      <c r="AE79" s="75" t="s">
        <v>5158</v>
      </c>
      <c r="AF79" s="75" t="s">
        <v>5165</v>
      </c>
      <c r="AG79" s="75" t="s">
        <v>5178</v>
      </c>
    </row>
    <row r="80" spans="1:33">
      <c r="A80" s="79" t="e">
        <f>IF(C80="","",VLOOKUP('OPĆI DIO'!$C$3,'OPĆI DIO'!$L$6:$U$138,10,FALSE))</f>
        <v>#N/A</v>
      </c>
      <c r="B80" s="79" t="e">
        <f>IF(C80="","",VLOOKUP('OPĆI DIO'!$C$3,'OPĆI DIO'!$L$6:$U$138,9,FALSE))</f>
        <v>#N/A</v>
      </c>
      <c r="C80" s="85">
        <v>51</v>
      </c>
      <c r="D80" s="80" t="str">
        <f t="shared" si="15"/>
        <v>Pomoći EU</v>
      </c>
      <c r="E80" s="85">
        <v>3225</v>
      </c>
      <c r="F80" s="80" t="str">
        <f t="shared" si="16"/>
        <v>Sitni inventar i auto gume</v>
      </c>
      <c r="G80" s="118" t="s">
        <v>177</v>
      </c>
      <c r="H80" s="80" t="str">
        <f t="shared" si="17"/>
        <v>REDOVNA DJELATNOST SVEUČILIŠTA U OSIJEKU (IZ EVIDENCIJSKIH PRIHODA)</v>
      </c>
      <c r="I80" s="80" t="str">
        <f t="shared" si="18"/>
        <v>0942</v>
      </c>
      <c r="J80" s="117"/>
      <c r="K80" s="117">
        <v>1320</v>
      </c>
      <c r="L80" s="117">
        <v>1320</v>
      </c>
      <c r="M80" s="84"/>
      <c r="O80" s="75" t="str">
        <f t="shared" si="20"/>
        <v>322</v>
      </c>
      <c r="P80" s="75" t="str">
        <f t="shared" si="21"/>
        <v>32</v>
      </c>
      <c r="Q80" s="75" t="str">
        <f t="shared" si="22"/>
        <v>51</v>
      </c>
      <c r="R80" s="75" t="str">
        <f t="shared" si="23"/>
        <v>94</v>
      </c>
      <c r="V80" s="75">
        <v>3662</v>
      </c>
      <c r="W80" s="75" t="s">
        <v>182</v>
      </c>
      <c r="Y80" s="290" t="str">
        <f t="shared" si="13"/>
        <v>36</v>
      </c>
      <c r="Z80" s="75" t="str">
        <f t="shared" si="14"/>
        <v>366</v>
      </c>
      <c r="AB80" t="s">
        <v>1855</v>
      </c>
      <c r="AC80" t="s">
        <v>1856</v>
      </c>
      <c r="AD80" s="75" t="s">
        <v>5157</v>
      </c>
      <c r="AE80" s="75" t="s">
        <v>5158</v>
      </c>
      <c r="AF80" s="75" t="s">
        <v>5165</v>
      </c>
      <c r="AG80" s="75" t="s">
        <v>5178</v>
      </c>
    </row>
    <row r="81" spans="1:33">
      <c r="A81" s="79" t="str">
        <f>IF(C81="","",VLOOKUP('OPĆI DIO'!$C$3,'OPĆI DIO'!$L$6:$U$138,10,FALSE))</f>
        <v/>
      </c>
      <c r="B81" s="79" t="str">
        <f>IF(C81="","",VLOOKUP('OPĆI DIO'!$C$3,'OPĆI DIO'!$L$6:$U$138,9,FALSE))</f>
        <v/>
      </c>
      <c r="C81" s="85"/>
      <c r="D81" s="80" t="str">
        <f t="shared" si="15"/>
        <v/>
      </c>
      <c r="E81" s="85"/>
      <c r="F81" s="80" t="str">
        <f t="shared" si="16"/>
        <v/>
      </c>
      <c r="G81" s="118"/>
      <c r="H81" s="80" t="str">
        <f t="shared" si="17"/>
        <v/>
      </c>
      <c r="I81" s="80" t="str">
        <f t="shared" si="18"/>
        <v/>
      </c>
      <c r="J81" s="117"/>
      <c r="K81" s="117"/>
      <c r="L81" s="117"/>
      <c r="M81" s="84"/>
      <c r="O81" s="75" t="str">
        <f t="shared" si="20"/>
        <v/>
      </c>
      <c r="P81" s="75" t="str">
        <f t="shared" si="21"/>
        <v/>
      </c>
      <c r="Q81" s="75" t="str">
        <f t="shared" si="22"/>
        <v/>
      </c>
      <c r="R81" s="75" t="str">
        <f t="shared" ref="R81:R144" si="24">MID(I81,2,2)</f>
        <v/>
      </c>
      <c r="V81" s="75">
        <v>3681</v>
      </c>
      <c r="W81" s="75" t="s">
        <v>26</v>
      </c>
      <c r="Y81" s="290" t="str">
        <f t="shared" si="13"/>
        <v>36</v>
      </c>
      <c r="Z81" s="75" t="str">
        <f t="shared" si="14"/>
        <v>368</v>
      </c>
      <c r="AB81" t="s">
        <v>1857</v>
      </c>
      <c r="AC81" t="s">
        <v>1858</v>
      </c>
      <c r="AD81" s="75" t="s">
        <v>5157</v>
      </c>
      <c r="AE81" s="75" t="s">
        <v>5158</v>
      </c>
      <c r="AF81" s="75" t="s">
        <v>5165</v>
      </c>
      <c r="AG81" s="75" t="s">
        <v>5178</v>
      </c>
    </row>
    <row r="82" spans="1:33">
      <c r="A82" s="79" t="str">
        <f>IF(C82="","",VLOOKUP('OPĆI DIO'!$C$3,'OPĆI DIO'!$L$6:$U$138,10,FALSE))</f>
        <v/>
      </c>
      <c r="B82" s="79" t="str">
        <f>IF(C82="","",VLOOKUP('OPĆI DIO'!$C$3,'OPĆI DIO'!$L$6:$U$138,9,FALSE))</f>
        <v/>
      </c>
      <c r="C82" s="85"/>
      <c r="D82" s="80" t="str">
        <f t="shared" si="15"/>
        <v/>
      </c>
      <c r="E82" s="85"/>
      <c r="F82" s="80" t="str">
        <f t="shared" si="16"/>
        <v/>
      </c>
      <c r="G82" s="118"/>
      <c r="H82" s="80" t="str">
        <f t="shared" si="17"/>
        <v/>
      </c>
      <c r="I82" s="80" t="str">
        <f t="shared" si="18"/>
        <v/>
      </c>
      <c r="J82" s="117"/>
      <c r="K82" s="117"/>
      <c r="L82" s="117"/>
      <c r="M82" s="84"/>
      <c r="O82" s="75" t="str">
        <f t="shared" si="20"/>
        <v/>
      </c>
      <c r="P82" s="75" t="str">
        <f t="shared" si="21"/>
        <v/>
      </c>
      <c r="Q82" s="75" t="str">
        <f t="shared" si="22"/>
        <v/>
      </c>
      <c r="R82" s="75" t="str">
        <f t="shared" si="24"/>
        <v/>
      </c>
      <c r="V82" s="75">
        <v>3682</v>
      </c>
      <c r="W82" s="75" t="s">
        <v>27</v>
      </c>
      <c r="Y82" s="290" t="str">
        <f t="shared" si="13"/>
        <v>36</v>
      </c>
      <c r="Z82" s="75" t="str">
        <f t="shared" si="14"/>
        <v>368</v>
      </c>
      <c r="AB82" t="s">
        <v>1859</v>
      </c>
      <c r="AC82" t="s">
        <v>1860</v>
      </c>
      <c r="AD82" s="75" t="s">
        <v>5157</v>
      </c>
      <c r="AE82" s="75" t="s">
        <v>5158</v>
      </c>
      <c r="AF82" s="75" t="s">
        <v>5165</v>
      </c>
      <c r="AG82" s="75" t="s">
        <v>5178</v>
      </c>
    </row>
    <row r="83" spans="1:33">
      <c r="A83" s="79" t="str">
        <f>IF(C83="","",VLOOKUP('OPĆI DIO'!$C$3,'OPĆI DIO'!$L$6:$U$138,10,FALSE))</f>
        <v/>
      </c>
      <c r="B83" s="79" t="str">
        <f>IF(C83="","",VLOOKUP('OPĆI DIO'!$C$3,'OPĆI DIO'!$L$6:$U$138,9,FALSE))</f>
        <v/>
      </c>
      <c r="C83" s="85"/>
      <c r="D83" s="80" t="str">
        <f t="shared" si="15"/>
        <v/>
      </c>
      <c r="E83" s="85"/>
      <c r="F83" s="80" t="str">
        <f t="shared" si="16"/>
        <v/>
      </c>
      <c r="G83" s="118"/>
      <c r="H83" s="80" t="str">
        <f t="shared" si="17"/>
        <v/>
      </c>
      <c r="I83" s="80" t="str">
        <f t="shared" si="18"/>
        <v/>
      </c>
      <c r="J83" s="117"/>
      <c r="K83" s="117"/>
      <c r="L83" s="117"/>
      <c r="M83" s="84"/>
      <c r="O83" s="75" t="str">
        <f t="shared" si="20"/>
        <v/>
      </c>
      <c r="P83" s="75" t="str">
        <f t="shared" si="21"/>
        <v/>
      </c>
      <c r="Q83" s="75" t="str">
        <f t="shared" si="22"/>
        <v/>
      </c>
      <c r="R83" s="75" t="str">
        <f t="shared" si="24"/>
        <v/>
      </c>
      <c r="V83" s="75">
        <v>3691</v>
      </c>
      <c r="W83" s="75" t="s">
        <v>104</v>
      </c>
      <c r="Y83" s="290" t="str">
        <f t="shared" si="13"/>
        <v>36</v>
      </c>
      <c r="Z83" s="75" t="str">
        <f t="shared" si="14"/>
        <v>369</v>
      </c>
      <c r="AB83" t="s">
        <v>1861</v>
      </c>
      <c r="AC83" t="s">
        <v>1862</v>
      </c>
      <c r="AD83" s="75" t="s">
        <v>5157</v>
      </c>
      <c r="AE83" s="75" t="s">
        <v>5158</v>
      </c>
      <c r="AF83" s="75" t="s">
        <v>5165</v>
      </c>
      <c r="AG83" s="75" t="s">
        <v>5178</v>
      </c>
    </row>
    <row r="84" spans="1:33">
      <c r="A84" s="79" t="str">
        <f>IF(C84="","",VLOOKUP('OPĆI DIO'!$C$3,'OPĆI DIO'!$L$6:$U$138,10,FALSE))</f>
        <v/>
      </c>
      <c r="B84" s="79" t="str">
        <f>IF(C84="","",VLOOKUP('OPĆI DIO'!$C$3,'OPĆI DIO'!$L$6:$U$138,9,FALSE))</f>
        <v/>
      </c>
      <c r="C84" s="85"/>
      <c r="D84" s="80" t="str">
        <f t="shared" si="15"/>
        <v/>
      </c>
      <c r="E84" s="85"/>
      <c r="F84" s="80" t="str">
        <f t="shared" si="16"/>
        <v/>
      </c>
      <c r="G84" s="118"/>
      <c r="H84" s="80" t="str">
        <f t="shared" si="17"/>
        <v/>
      </c>
      <c r="I84" s="80" t="str">
        <f t="shared" si="18"/>
        <v/>
      </c>
      <c r="J84" s="117"/>
      <c r="K84" s="117"/>
      <c r="L84" s="117"/>
      <c r="M84" s="84"/>
      <c r="O84" s="75" t="str">
        <f t="shared" si="20"/>
        <v/>
      </c>
      <c r="P84" s="75" t="str">
        <f t="shared" si="21"/>
        <v/>
      </c>
      <c r="Q84" s="75" t="str">
        <f t="shared" si="22"/>
        <v/>
      </c>
      <c r="R84" s="75" t="str">
        <f t="shared" si="24"/>
        <v/>
      </c>
      <c r="V84" s="75">
        <v>3692</v>
      </c>
      <c r="W84" s="75" t="s">
        <v>176</v>
      </c>
      <c r="Y84" s="290" t="str">
        <f t="shared" si="13"/>
        <v>36</v>
      </c>
      <c r="Z84" s="75" t="str">
        <f t="shared" si="14"/>
        <v>369</v>
      </c>
      <c r="AB84" t="s">
        <v>1863</v>
      </c>
      <c r="AC84" t="s">
        <v>1864</v>
      </c>
      <c r="AD84" s="75" t="s">
        <v>5157</v>
      </c>
      <c r="AE84" s="75" t="s">
        <v>5158</v>
      </c>
      <c r="AF84" s="75" t="s">
        <v>5165</v>
      </c>
      <c r="AG84" s="75" t="s">
        <v>5178</v>
      </c>
    </row>
    <row r="85" spans="1:33">
      <c r="A85" s="79" t="str">
        <f>IF(C85="","",VLOOKUP('OPĆI DIO'!$C$3,'OPĆI DIO'!$L$6:$U$138,10,FALSE))</f>
        <v/>
      </c>
      <c r="B85" s="79" t="str">
        <f>IF(C85="","",VLOOKUP('OPĆI DIO'!$C$3,'OPĆI DIO'!$L$6:$U$138,9,FALSE))</f>
        <v/>
      </c>
      <c r="C85" s="85"/>
      <c r="D85" s="80" t="str">
        <f t="shared" si="15"/>
        <v/>
      </c>
      <c r="E85" s="85"/>
      <c r="F85" s="80" t="str">
        <f t="shared" si="16"/>
        <v/>
      </c>
      <c r="G85" s="118"/>
      <c r="H85" s="80" t="str">
        <f t="shared" si="17"/>
        <v/>
      </c>
      <c r="I85" s="80" t="str">
        <f t="shared" si="18"/>
        <v/>
      </c>
      <c r="J85" s="117"/>
      <c r="K85" s="117"/>
      <c r="L85" s="117"/>
      <c r="M85" s="84"/>
      <c r="O85" s="75" t="str">
        <f t="shared" si="20"/>
        <v/>
      </c>
      <c r="P85" s="75" t="str">
        <f t="shared" si="21"/>
        <v/>
      </c>
      <c r="Q85" s="75" t="str">
        <f t="shared" si="22"/>
        <v/>
      </c>
      <c r="R85" s="75" t="str">
        <f t="shared" si="24"/>
        <v/>
      </c>
      <c r="V85" s="75">
        <v>3693</v>
      </c>
      <c r="W85" s="75" t="s">
        <v>104</v>
      </c>
      <c r="Y85" s="290" t="str">
        <f t="shared" si="13"/>
        <v>36</v>
      </c>
      <c r="Z85" s="75" t="str">
        <f t="shared" si="14"/>
        <v>369</v>
      </c>
      <c r="AB85" t="s">
        <v>1865</v>
      </c>
      <c r="AC85" t="s">
        <v>1866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/>
      </c>
      <c r="B86" s="79" t="str">
        <f>IF(C86="","",VLOOKUP('OPĆI DIO'!$C$3,'OPĆI DIO'!$L$6:$U$138,9,FALSE))</f>
        <v/>
      </c>
      <c r="C86" s="85"/>
      <c r="D86" s="80" t="str">
        <f t="shared" si="15"/>
        <v/>
      </c>
      <c r="E86" s="85"/>
      <c r="F86" s="80" t="str">
        <f t="shared" si="16"/>
        <v/>
      </c>
      <c r="G86" s="118"/>
      <c r="H86" s="80" t="str">
        <f t="shared" si="17"/>
        <v/>
      </c>
      <c r="I86" s="80" t="str">
        <f t="shared" si="18"/>
        <v/>
      </c>
      <c r="J86" s="117"/>
      <c r="K86" s="117"/>
      <c r="L86" s="117"/>
      <c r="M86" s="84"/>
      <c r="O86" s="75" t="str">
        <f t="shared" si="20"/>
        <v/>
      </c>
      <c r="P86" s="75" t="str">
        <f t="shared" si="21"/>
        <v/>
      </c>
      <c r="Q86" s="75" t="str">
        <f t="shared" si="22"/>
        <v/>
      </c>
      <c r="R86" s="75" t="str">
        <f t="shared" si="24"/>
        <v/>
      </c>
      <c r="V86" s="75">
        <v>3694</v>
      </c>
      <c r="W86" s="75" t="s">
        <v>176</v>
      </c>
      <c r="Y86" s="290" t="str">
        <f t="shared" si="13"/>
        <v>36</v>
      </c>
      <c r="Z86" s="75" t="str">
        <f t="shared" si="14"/>
        <v>369</v>
      </c>
      <c r="AB86" t="s">
        <v>1867</v>
      </c>
      <c r="AC86" t="s">
        <v>1868</v>
      </c>
      <c r="AD86" s="75" t="s">
        <v>5147</v>
      </c>
      <c r="AE86" s="75" t="s">
        <v>5148</v>
      </c>
      <c r="AF86" s="75" t="s">
        <v>5165</v>
      </c>
      <c r="AG86" s="75" t="s">
        <v>5173</v>
      </c>
    </row>
    <row r="87" spans="1:33">
      <c r="A87" s="79" t="str">
        <f>IF(C87="","",VLOOKUP('OPĆI DIO'!$C$3,'OPĆI DIO'!$L$6:$U$138,10,FALSE))</f>
        <v/>
      </c>
      <c r="B87" s="79" t="str">
        <f>IF(C87="","",VLOOKUP('OPĆI DIO'!$C$3,'OPĆI DIO'!$L$6:$U$138,9,FALSE))</f>
        <v/>
      </c>
      <c r="C87" s="85"/>
      <c r="D87" s="80" t="str">
        <f t="shared" si="15"/>
        <v/>
      </c>
      <c r="E87" s="85"/>
      <c r="F87" s="80" t="str">
        <f t="shared" si="16"/>
        <v/>
      </c>
      <c r="G87" s="118"/>
      <c r="H87" s="80" t="str">
        <f t="shared" si="17"/>
        <v/>
      </c>
      <c r="I87" s="80" t="str">
        <f t="shared" si="18"/>
        <v/>
      </c>
      <c r="J87" s="117"/>
      <c r="K87" s="117"/>
      <c r="L87" s="117"/>
      <c r="M87" s="84"/>
      <c r="O87" s="75" t="str">
        <f t="shared" si="20"/>
        <v/>
      </c>
      <c r="P87" s="75" t="str">
        <f t="shared" si="21"/>
        <v/>
      </c>
      <c r="Q87" s="75" t="str">
        <f t="shared" si="22"/>
        <v/>
      </c>
      <c r="R87" s="75" t="str">
        <f t="shared" si="24"/>
        <v/>
      </c>
      <c r="V87" s="75">
        <v>3711</v>
      </c>
      <c r="W87" s="75" t="s">
        <v>123</v>
      </c>
      <c r="Y87" s="290" t="str">
        <f t="shared" si="13"/>
        <v>37</v>
      </c>
      <c r="Z87" s="75" t="str">
        <f t="shared" si="14"/>
        <v>371</v>
      </c>
      <c r="AB87" t="s">
        <v>1869</v>
      </c>
      <c r="AC87" t="s">
        <v>1870</v>
      </c>
      <c r="AD87" s="75" t="s">
        <v>5147</v>
      </c>
      <c r="AE87" s="75" t="s">
        <v>5148</v>
      </c>
      <c r="AF87" s="75" t="s">
        <v>5165</v>
      </c>
      <c r="AG87" s="75" t="s">
        <v>5173</v>
      </c>
    </row>
    <row r="88" spans="1:33">
      <c r="A88" s="79" t="str">
        <f>IF(C88="","",VLOOKUP('OPĆI DIO'!$C$3,'OPĆI DIO'!$L$6:$U$138,10,FALSE))</f>
        <v/>
      </c>
      <c r="B88" s="79" t="str">
        <f>IF(C88="","",VLOOKUP('OPĆI DIO'!$C$3,'OPĆI DIO'!$L$6:$U$138,9,FALSE))</f>
        <v/>
      </c>
      <c r="C88" s="85"/>
      <c r="D88" s="80" t="str">
        <f t="shared" si="15"/>
        <v/>
      </c>
      <c r="E88" s="85"/>
      <c r="F88" s="80" t="str">
        <f t="shared" si="16"/>
        <v/>
      </c>
      <c r="G88" s="118"/>
      <c r="H88" s="80" t="str">
        <f t="shared" si="17"/>
        <v/>
      </c>
      <c r="I88" s="80" t="str">
        <f t="shared" si="18"/>
        <v/>
      </c>
      <c r="J88" s="117"/>
      <c r="K88" s="117"/>
      <c r="L88" s="117"/>
      <c r="M88" s="84"/>
      <c r="O88" s="75" t="str">
        <f t="shared" si="20"/>
        <v/>
      </c>
      <c r="P88" s="75" t="str">
        <f t="shared" si="21"/>
        <v/>
      </c>
      <c r="Q88" s="75" t="str">
        <f t="shared" si="22"/>
        <v/>
      </c>
      <c r="R88" s="75" t="str">
        <f t="shared" si="24"/>
        <v/>
      </c>
      <c r="V88" s="75">
        <v>3712</v>
      </c>
      <c r="W88" s="75" t="s">
        <v>141</v>
      </c>
      <c r="Y88" s="290" t="str">
        <f t="shared" si="13"/>
        <v>37</v>
      </c>
      <c r="Z88" s="75" t="str">
        <f t="shared" si="14"/>
        <v>371</v>
      </c>
      <c r="AB88" t="s">
        <v>1871</v>
      </c>
      <c r="AC88" t="s">
        <v>1872</v>
      </c>
      <c r="AD88" s="75" t="s">
        <v>5157</v>
      </c>
      <c r="AE88" s="75" t="s">
        <v>5158</v>
      </c>
      <c r="AF88" s="75" t="s">
        <v>5165</v>
      </c>
      <c r="AG88" s="75" t="s">
        <v>5178</v>
      </c>
    </row>
    <row r="89" spans="1:33">
      <c r="A89" s="79" t="str">
        <f>IF(C89="","",VLOOKUP('OPĆI DIO'!$C$3,'OPĆI DIO'!$L$6:$U$138,10,FALSE))</f>
        <v/>
      </c>
      <c r="B89" s="79" t="str">
        <f>IF(C89="","",VLOOKUP('OPĆI DIO'!$C$3,'OPĆI DIO'!$L$6:$U$138,9,FALSE))</f>
        <v/>
      </c>
      <c r="C89" s="85"/>
      <c r="D89" s="80" t="str">
        <f t="shared" si="15"/>
        <v/>
      </c>
      <c r="E89" s="85"/>
      <c r="F89" s="80" t="str">
        <f t="shared" si="16"/>
        <v/>
      </c>
      <c r="G89" s="118"/>
      <c r="H89" s="80" t="str">
        <f t="shared" si="17"/>
        <v/>
      </c>
      <c r="I89" s="80" t="str">
        <f t="shared" si="18"/>
        <v/>
      </c>
      <c r="J89" s="117"/>
      <c r="K89" s="117"/>
      <c r="L89" s="117"/>
      <c r="M89" s="84"/>
      <c r="O89" s="75" t="str">
        <f t="shared" si="20"/>
        <v/>
      </c>
      <c r="P89" s="75" t="str">
        <f t="shared" si="21"/>
        <v/>
      </c>
      <c r="Q89" s="75" t="str">
        <f t="shared" si="22"/>
        <v/>
      </c>
      <c r="R89" s="75" t="str">
        <f t="shared" si="24"/>
        <v/>
      </c>
      <c r="V89" s="75">
        <v>3713</v>
      </c>
      <c r="W89" s="75" t="s">
        <v>168</v>
      </c>
      <c r="Y89" s="290" t="str">
        <f t="shared" si="13"/>
        <v>37</v>
      </c>
      <c r="Z89" s="75" t="str">
        <f t="shared" si="14"/>
        <v>371</v>
      </c>
      <c r="AB89" t="s">
        <v>1874</v>
      </c>
      <c r="AC89" t="s">
        <v>1875</v>
      </c>
      <c r="AD89" s="75" t="s">
        <v>5147</v>
      </c>
      <c r="AE89" s="75" t="s">
        <v>5148</v>
      </c>
      <c r="AF89" s="75" t="s">
        <v>5165</v>
      </c>
      <c r="AG89" s="75" t="s">
        <v>5173</v>
      </c>
    </row>
    <row r="90" spans="1:33">
      <c r="A90" s="79" t="str">
        <f>IF(C90="","",VLOOKUP('OPĆI DIO'!$C$3,'OPĆI DIO'!$L$6:$U$138,10,FALSE))</f>
        <v/>
      </c>
      <c r="B90" s="79" t="str">
        <f>IF(C90="","",VLOOKUP('OPĆI DIO'!$C$3,'OPĆI DIO'!$L$6:$U$138,9,FALSE))</f>
        <v/>
      </c>
      <c r="C90" s="85"/>
      <c r="D90" s="80" t="str">
        <f t="shared" si="15"/>
        <v/>
      </c>
      <c r="E90" s="85"/>
      <c r="F90" s="80" t="str">
        <f t="shared" si="16"/>
        <v/>
      </c>
      <c r="G90" s="118"/>
      <c r="H90" s="80" t="str">
        <f t="shared" si="17"/>
        <v/>
      </c>
      <c r="I90" s="80" t="str">
        <f t="shared" si="18"/>
        <v/>
      </c>
      <c r="J90" s="117"/>
      <c r="K90" s="117"/>
      <c r="L90" s="117"/>
      <c r="M90" s="84"/>
      <c r="O90" s="75" t="str">
        <f t="shared" si="20"/>
        <v/>
      </c>
      <c r="P90" s="75" t="str">
        <f t="shared" si="21"/>
        <v/>
      </c>
      <c r="Q90" s="75" t="str">
        <f t="shared" si="22"/>
        <v/>
      </c>
      <c r="R90" s="75" t="str">
        <f t="shared" si="24"/>
        <v/>
      </c>
      <c r="V90" s="75">
        <v>3714</v>
      </c>
      <c r="W90" s="75" t="s">
        <v>189</v>
      </c>
      <c r="Y90" s="290" t="str">
        <f t="shared" si="13"/>
        <v>37</v>
      </c>
      <c r="Z90" s="75" t="str">
        <f t="shared" si="14"/>
        <v>371</v>
      </c>
      <c r="AB90" t="s">
        <v>1876</v>
      </c>
      <c r="AC90" t="s">
        <v>1877</v>
      </c>
      <c r="AD90" s="75" t="s">
        <v>5141</v>
      </c>
      <c r="AE90" s="75" t="s">
        <v>5142</v>
      </c>
      <c r="AF90" s="75" t="s">
        <v>5167</v>
      </c>
      <c r="AG90" s="75" t="s">
        <v>5168</v>
      </c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15"/>
        <v/>
      </c>
      <c r="E91" s="85"/>
      <c r="F91" s="80" t="str">
        <f t="shared" si="16"/>
        <v/>
      </c>
      <c r="G91" s="118"/>
      <c r="H91" s="80" t="str">
        <f t="shared" si="17"/>
        <v/>
      </c>
      <c r="I91" s="80" t="str">
        <f t="shared" si="18"/>
        <v/>
      </c>
      <c r="J91" s="117"/>
      <c r="K91" s="117"/>
      <c r="L91" s="117"/>
      <c r="M91" s="84"/>
      <c r="O91" s="75" t="str">
        <f t="shared" si="20"/>
        <v/>
      </c>
      <c r="P91" s="75" t="str">
        <f t="shared" si="21"/>
        <v/>
      </c>
      <c r="Q91" s="75" t="str">
        <f t="shared" si="22"/>
        <v/>
      </c>
      <c r="R91" s="75" t="str">
        <f t="shared" si="24"/>
        <v/>
      </c>
      <c r="V91" s="75">
        <v>3715</v>
      </c>
      <c r="W91" s="75" t="s">
        <v>127</v>
      </c>
      <c r="Y91" s="290" t="str">
        <f t="shared" si="13"/>
        <v>37</v>
      </c>
      <c r="Z91" s="75" t="str">
        <f t="shared" si="14"/>
        <v>371</v>
      </c>
      <c r="AB91" t="s">
        <v>1878</v>
      </c>
      <c r="AC91" t="s">
        <v>1879</v>
      </c>
      <c r="AD91" s="75" t="s">
        <v>5141</v>
      </c>
      <c r="AE91" s="75" t="s">
        <v>5142</v>
      </c>
      <c r="AF91" s="75" t="s">
        <v>5167</v>
      </c>
      <c r="AG91" s="75" t="s">
        <v>5168</v>
      </c>
    </row>
    <row r="92" spans="1:33">
      <c r="A92" s="79" t="str">
        <f>IF(C92="","",VLOOKUP('OPĆI DIO'!$C$3,'OPĆI DIO'!$L$6:$U$138,10,FALSE))</f>
        <v/>
      </c>
      <c r="B92" s="79" t="str">
        <f>IF(C92="","",VLOOKUP('OPĆI DIO'!$C$3,'OPĆI DIO'!$L$6:$U$138,9,FALSE))</f>
        <v/>
      </c>
      <c r="C92" s="85"/>
      <c r="D92" s="80" t="str">
        <f t="shared" si="15"/>
        <v/>
      </c>
      <c r="E92" s="85"/>
      <c r="F92" s="80" t="str">
        <f t="shared" si="16"/>
        <v/>
      </c>
      <c r="G92" s="118"/>
      <c r="H92" s="80" t="str">
        <f t="shared" si="17"/>
        <v/>
      </c>
      <c r="I92" s="80" t="str">
        <f t="shared" si="18"/>
        <v/>
      </c>
      <c r="J92" s="117"/>
      <c r="K92" s="117"/>
      <c r="L92" s="117"/>
      <c r="M92" s="84"/>
      <c r="O92" s="75" t="str">
        <f t="shared" si="20"/>
        <v/>
      </c>
      <c r="P92" s="75" t="str">
        <f t="shared" si="21"/>
        <v/>
      </c>
      <c r="Q92" s="75" t="str">
        <f t="shared" si="22"/>
        <v/>
      </c>
      <c r="R92" s="75" t="str">
        <f t="shared" si="24"/>
        <v/>
      </c>
      <c r="V92" s="75">
        <v>3721</v>
      </c>
      <c r="W92" s="75" t="s">
        <v>65</v>
      </c>
      <c r="Y92" s="290" t="str">
        <f t="shared" si="13"/>
        <v>37</v>
      </c>
      <c r="Z92" s="75" t="str">
        <f t="shared" si="14"/>
        <v>372</v>
      </c>
      <c r="AB92" t="s">
        <v>1880</v>
      </c>
      <c r="AC92" t="s">
        <v>1881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tr">
        <f>IF(C93="","",VLOOKUP('OPĆI DIO'!$C$3,'OPĆI DIO'!$L$6:$U$138,10,FALSE))</f>
        <v/>
      </c>
      <c r="B93" s="79" t="str">
        <f>IF(C93="","",VLOOKUP('OPĆI DIO'!$C$3,'OPĆI DIO'!$L$6:$U$138,9,FALSE))</f>
        <v/>
      </c>
      <c r="C93" s="85"/>
      <c r="D93" s="80" t="str">
        <f t="shared" si="15"/>
        <v/>
      </c>
      <c r="E93" s="85"/>
      <c r="F93" s="80" t="str">
        <f t="shared" si="16"/>
        <v/>
      </c>
      <c r="G93" s="118"/>
      <c r="H93" s="80" t="str">
        <f t="shared" si="17"/>
        <v/>
      </c>
      <c r="I93" s="80" t="str">
        <f t="shared" si="18"/>
        <v/>
      </c>
      <c r="J93" s="117"/>
      <c r="K93" s="117"/>
      <c r="L93" s="117"/>
      <c r="M93" s="84"/>
      <c r="O93" s="75" t="str">
        <f t="shared" si="20"/>
        <v/>
      </c>
      <c r="P93" s="75" t="str">
        <f t="shared" si="21"/>
        <v/>
      </c>
      <c r="Q93" s="75" t="str">
        <f t="shared" si="22"/>
        <v/>
      </c>
      <c r="R93" s="75" t="str">
        <f t="shared" si="24"/>
        <v/>
      </c>
      <c r="V93" s="75">
        <v>3722</v>
      </c>
      <c r="W93" s="75" t="s">
        <v>150</v>
      </c>
      <c r="Y93" s="290" t="str">
        <f t="shared" si="13"/>
        <v>37</v>
      </c>
      <c r="Z93" s="75" t="str">
        <f t="shared" si="14"/>
        <v>372</v>
      </c>
      <c r="AB93" t="s">
        <v>1882</v>
      </c>
      <c r="AC93" t="s">
        <v>1883</v>
      </c>
      <c r="AD93" s="75" t="s">
        <v>5141</v>
      </c>
      <c r="AE93" s="75" t="s">
        <v>5142</v>
      </c>
      <c r="AF93" s="75" t="s">
        <v>5167</v>
      </c>
      <c r="AG93" s="75" t="s">
        <v>5168</v>
      </c>
    </row>
    <row r="94" spans="1:33">
      <c r="A94" s="79" t="str">
        <f>IF(C94="","",VLOOKUP('OPĆI DIO'!$C$3,'OPĆI DIO'!$L$6:$U$138,10,FALSE))</f>
        <v/>
      </c>
      <c r="B94" s="79" t="str">
        <f>IF(C94="","",VLOOKUP('OPĆI DIO'!$C$3,'OPĆI DIO'!$L$6:$U$138,9,FALSE))</f>
        <v/>
      </c>
      <c r="C94" s="85"/>
      <c r="D94" s="80" t="str">
        <f t="shared" si="15"/>
        <v/>
      </c>
      <c r="E94" s="85"/>
      <c r="F94" s="80" t="str">
        <f t="shared" si="16"/>
        <v/>
      </c>
      <c r="G94" s="118"/>
      <c r="H94" s="80" t="str">
        <f t="shared" si="17"/>
        <v/>
      </c>
      <c r="I94" s="80" t="str">
        <f t="shared" si="18"/>
        <v/>
      </c>
      <c r="J94" s="117"/>
      <c r="K94" s="117"/>
      <c r="L94" s="117"/>
      <c r="M94" s="84"/>
      <c r="O94" s="75" t="str">
        <f t="shared" si="20"/>
        <v/>
      </c>
      <c r="P94" s="75" t="str">
        <f t="shared" si="21"/>
        <v/>
      </c>
      <c r="Q94" s="75" t="str">
        <f t="shared" si="22"/>
        <v/>
      </c>
      <c r="R94" s="75" t="str">
        <f t="shared" si="24"/>
        <v/>
      </c>
      <c r="V94" s="75">
        <v>3723</v>
      </c>
      <c r="W94" s="75" t="s">
        <v>105</v>
      </c>
      <c r="Y94" s="290" t="str">
        <f t="shared" si="13"/>
        <v>37</v>
      </c>
      <c r="Z94" s="75" t="str">
        <f t="shared" si="14"/>
        <v>372</v>
      </c>
      <c r="AB94" t="s">
        <v>1884</v>
      </c>
      <c r="AC94" t="s">
        <v>1885</v>
      </c>
      <c r="AD94" s="75" t="s">
        <v>5141</v>
      </c>
      <c r="AE94" s="75" t="s">
        <v>5142</v>
      </c>
      <c r="AF94" s="75" t="s">
        <v>5167</v>
      </c>
      <c r="AG94" s="75" t="s">
        <v>5168</v>
      </c>
    </row>
    <row r="95" spans="1:33">
      <c r="A95" s="79" t="str">
        <f>IF(C95="","",VLOOKUP('OPĆI DIO'!$C$3,'OPĆI DIO'!$L$6:$U$138,10,FALSE))</f>
        <v/>
      </c>
      <c r="B95" s="79" t="str">
        <f>IF(C95="","",VLOOKUP('OPĆI DIO'!$C$3,'OPĆI DIO'!$L$6:$U$138,9,FALSE))</f>
        <v/>
      </c>
      <c r="C95" s="85"/>
      <c r="D95" s="80" t="str">
        <f t="shared" si="15"/>
        <v/>
      </c>
      <c r="E95" s="85"/>
      <c r="F95" s="80" t="str">
        <f t="shared" si="16"/>
        <v/>
      </c>
      <c r="G95" s="118"/>
      <c r="H95" s="80" t="str">
        <f t="shared" si="17"/>
        <v/>
      </c>
      <c r="I95" s="80" t="str">
        <f t="shared" si="18"/>
        <v/>
      </c>
      <c r="J95" s="117"/>
      <c r="K95" s="117"/>
      <c r="L95" s="117"/>
      <c r="M95" s="84"/>
      <c r="O95" s="75" t="str">
        <f t="shared" si="20"/>
        <v/>
      </c>
      <c r="P95" s="75" t="str">
        <f t="shared" si="21"/>
        <v/>
      </c>
      <c r="Q95" s="75" t="str">
        <f t="shared" si="22"/>
        <v/>
      </c>
      <c r="R95" s="75" t="str">
        <f t="shared" si="24"/>
        <v/>
      </c>
      <c r="V95" s="75">
        <v>3811</v>
      </c>
      <c r="W95" s="75" t="s">
        <v>55</v>
      </c>
      <c r="Y95" s="290" t="str">
        <f t="shared" si="13"/>
        <v>38</v>
      </c>
      <c r="Z95" s="75" t="str">
        <f t="shared" si="14"/>
        <v>381</v>
      </c>
      <c r="AB95" t="s">
        <v>1886</v>
      </c>
      <c r="AC95" t="s">
        <v>1887</v>
      </c>
      <c r="AD95" s="75" t="s">
        <v>5141</v>
      </c>
      <c r="AE95" s="75" t="s">
        <v>5142</v>
      </c>
      <c r="AF95" s="75" t="s">
        <v>5167</v>
      </c>
      <c r="AG95" s="75" t="s">
        <v>5168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15"/>
        <v/>
      </c>
      <c r="E96" s="85"/>
      <c r="F96" s="80" t="str">
        <f t="shared" si="16"/>
        <v/>
      </c>
      <c r="G96" s="118"/>
      <c r="H96" s="80" t="str">
        <f t="shared" si="17"/>
        <v/>
      </c>
      <c r="I96" s="80" t="str">
        <f t="shared" si="18"/>
        <v/>
      </c>
      <c r="J96" s="117"/>
      <c r="K96" s="117"/>
      <c r="L96" s="117"/>
      <c r="M96" s="84"/>
      <c r="O96" s="75" t="str">
        <f t="shared" si="20"/>
        <v/>
      </c>
      <c r="P96" s="75" t="str">
        <f t="shared" si="21"/>
        <v/>
      </c>
      <c r="Q96" s="75" t="str">
        <f t="shared" si="22"/>
        <v/>
      </c>
      <c r="R96" s="75" t="str">
        <f t="shared" si="24"/>
        <v/>
      </c>
      <c r="V96" s="75">
        <v>3812</v>
      </c>
      <c r="W96" s="75" t="s">
        <v>151</v>
      </c>
      <c r="Y96" s="290" t="str">
        <f t="shared" si="13"/>
        <v>38</v>
      </c>
      <c r="Z96" s="75" t="str">
        <f t="shared" si="14"/>
        <v>381</v>
      </c>
      <c r="AB96" t="s">
        <v>957</v>
      </c>
      <c r="AC96" t="s">
        <v>958</v>
      </c>
      <c r="AD96" s="75" t="s">
        <v>5141</v>
      </c>
      <c r="AE96" s="75" t="s">
        <v>5142</v>
      </c>
      <c r="AF96" s="75" t="s">
        <v>5167</v>
      </c>
      <c r="AG96" s="75" t="s">
        <v>5168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15"/>
        <v/>
      </c>
      <c r="E97" s="85"/>
      <c r="F97" s="80" t="str">
        <f t="shared" si="16"/>
        <v/>
      </c>
      <c r="G97" s="118"/>
      <c r="H97" s="80" t="str">
        <f t="shared" si="17"/>
        <v/>
      </c>
      <c r="I97" s="80" t="str">
        <f t="shared" si="18"/>
        <v/>
      </c>
      <c r="J97" s="117"/>
      <c r="K97" s="117"/>
      <c r="L97" s="117"/>
      <c r="M97" s="84"/>
      <c r="O97" s="75" t="str">
        <f t="shared" si="20"/>
        <v/>
      </c>
      <c r="P97" s="75" t="str">
        <f t="shared" si="21"/>
        <v/>
      </c>
      <c r="Q97" s="75" t="str">
        <f t="shared" si="22"/>
        <v/>
      </c>
      <c r="R97" s="75" t="str">
        <f t="shared" si="24"/>
        <v/>
      </c>
      <c r="V97" s="75">
        <v>3813</v>
      </c>
      <c r="W97" s="75" t="s">
        <v>94</v>
      </c>
      <c r="Y97" s="290" t="str">
        <f t="shared" ref="Y97:Y103" si="25">LEFT(V97,2)</f>
        <v>38</v>
      </c>
      <c r="Z97" s="75" t="str">
        <f t="shared" ref="Z97:Z103" si="26">LEFT(V97,3)</f>
        <v>381</v>
      </c>
      <c r="AB97" t="s">
        <v>1888</v>
      </c>
      <c r="AC97" t="s">
        <v>1889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15"/>
        <v/>
      </c>
      <c r="E98" s="85"/>
      <c r="F98" s="80" t="str">
        <f t="shared" si="16"/>
        <v/>
      </c>
      <c r="G98" s="118"/>
      <c r="H98" s="80" t="str">
        <f t="shared" si="17"/>
        <v/>
      </c>
      <c r="I98" s="80" t="str">
        <f t="shared" si="18"/>
        <v/>
      </c>
      <c r="J98" s="117"/>
      <c r="K98" s="117"/>
      <c r="L98" s="117"/>
      <c r="M98" s="84"/>
      <c r="O98" s="75" t="str">
        <f t="shared" si="20"/>
        <v/>
      </c>
      <c r="P98" s="75" t="str">
        <f t="shared" si="21"/>
        <v/>
      </c>
      <c r="Q98" s="75" t="str">
        <f t="shared" si="22"/>
        <v/>
      </c>
      <c r="R98" s="75" t="str">
        <f t="shared" si="24"/>
        <v/>
      </c>
      <c r="V98" s="75">
        <v>3821</v>
      </c>
      <c r="W98" s="75" t="s">
        <v>169</v>
      </c>
      <c r="Y98" s="290" t="str">
        <f t="shared" si="25"/>
        <v>38</v>
      </c>
      <c r="Z98" s="75" t="str">
        <f t="shared" si="26"/>
        <v>382</v>
      </c>
      <c r="AB98" t="s">
        <v>3463</v>
      </c>
      <c r="AC98" t="s">
        <v>3464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15"/>
        <v/>
      </c>
      <c r="E99" s="85"/>
      <c r="F99" s="80" t="str">
        <f t="shared" si="16"/>
        <v/>
      </c>
      <c r="G99" s="118"/>
      <c r="H99" s="80" t="str">
        <f t="shared" si="17"/>
        <v/>
      </c>
      <c r="I99" s="80" t="str">
        <f t="shared" si="18"/>
        <v/>
      </c>
      <c r="J99" s="117"/>
      <c r="K99" s="117"/>
      <c r="L99" s="117"/>
      <c r="M99" s="84"/>
      <c r="O99" s="75" t="str">
        <f t="shared" si="20"/>
        <v/>
      </c>
      <c r="P99" s="75" t="str">
        <f t="shared" si="21"/>
        <v/>
      </c>
      <c r="Q99" s="75" t="str">
        <f t="shared" si="22"/>
        <v/>
      </c>
      <c r="R99" s="75" t="str">
        <f t="shared" si="24"/>
        <v/>
      </c>
      <c r="V99" s="75">
        <v>3831</v>
      </c>
      <c r="W99" s="75" t="s">
        <v>152</v>
      </c>
      <c r="Y99" s="290" t="str">
        <f t="shared" si="25"/>
        <v>38</v>
      </c>
      <c r="Z99" s="75" t="str">
        <f t="shared" si="26"/>
        <v>383</v>
      </c>
      <c r="AB99" t="s">
        <v>1890</v>
      </c>
      <c r="AC99" t="s">
        <v>1891</v>
      </c>
      <c r="AD99" s="75" t="s">
        <v>5141</v>
      </c>
      <c r="AE99" s="75" t="s">
        <v>5142</v>
      </c>
      <c r="AF99" s="75" t="s">
        <v>5167</v>
      </c>
      <c r="AG99" s="75" t="s">
        <v>5168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15"/>
        <v/>
      </c>
      <c r="E100" s="85"/>
      <c r="F100" s="80" t="str">
        <f t="shared" si="16"/>
        <v/>
      </c>
      <c r="G100" s="118"/>
      <c r="H100" s="80" t="str">
        <f t="shared" si="17"/>
        <v/>
      </c>
      <c r="I100" s="80" t="str">
        <f t="shared" si="18"/>
        <v/>
      </c>
      <c r="J100" s="117"/>
      <c r="K100" s="117"/>
      <c r="L100" s="117"/>
      <c r="M100" s="84"/>
      <c r="O100" s="75" t="str">
        <f t="shared" si="20"/>
        <v/>
      </c>
      <c r="P100" s="75" t="str">
        <f t="shared" si="21"/>
        <v/>
      </c>
      <c r="Q100" s="75" t="str">
        <f t="shared" si="22"/>
        <v/>
      </c>
      <c r="R100" s="75" t="str">
        <f t="shared" si="24"/>
        <v/>
      </c>
      <c r="V100" s="75">
        <v>3832</v>
      </c>
      <c r="W100" s="75" t="s">
        <v>192</v>
      </c>
      <c r="Y100" s="290" t="str">
        <f t="shared" si="25"/>
        <v>38</v>
      </c>
      <c r="Z100" s="75" t="str">
        <f t="shared" si="26"/>
        <v>383</v>
      </c>
      <c r="AB100" t="s">
        <v>1892</v>
      </c>
      <c r="AC100" t="s">
        <v>1893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15"/>
        <v/>
      </c>
      <c r="E101" s="85"/>
      <c r="F101" s="80" t="str">
        <f t="shared" si="16"/>
        <v/>
      </c>
      <c r="G101" s="118"/>
      <c r="H101" s="80" t="str">
        <f t="shared" si="17"/>
        <v/>
      </c>
      <c r="I101" s="80" t="str">
        <f t="shared" si="18"/>
        <v/>
      </c>
      <c r="J101" s="117"/>
      <c r="K101" s="117"/>
      <c r="L101" s="117"/>
      <c r="M101" s="84"/>
      <c r="O101" s="75" t="str">
        <f t="shared" si="20"/>
        <v/>
      </c>
      <c r="P101" s="75" t="str">
        <f t="shared" si="21"/>
        <v/>
      </c>
      <c r="Q101" s="75" t="str">
        <f t="shared" si="22"/>
        <v/>
      </c>
      <c r="R101" s="75" t="str">
        <f t="shared" si="24"/>
        <v/>
      </c>
      <c r="V101" s="75">
        <v>3833</v>
      </c>
      <c r="W101" s="75" t="s">
        <v>153</v>
      </c>
      <c r="Y101" s="290" t="str">
        <f t="shared" si="25"/>
        <v>38</v>
      </c>
      <c r="Z101" s="75" t="str">
        <f t="shared" si="26"/>
        <v>383</v>
      </c>
      <c r="AB101" t="s">
        <v>1894</v>
      </c>
      <c r="AC101" t="s">
        <v>1895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15"/>
        <v/>
      </c>
      <c r="E102" s="85"/>
      <c r="F102" s="80" t="str">
        <f t="shared" si="16"/>
        <v/>
      </c>
      <c r="G102" s="118"/>
      <c r="H102" s="80" t="str">
        <f t="shared" si="17"/>
        <v/>
      </c>
      <c r="I102" s="80" t="str">
        <f t="shared" si="18"/>
        <v/>
      </c>
      <c r="J102" s="117"/>
      <c r="K102" s="117"/>
      <c r="L102" s="117"/>
      <c r="M102" s="84"/>
      <c r="O102" s="75" t="str">
        <f t="shared" si="20"/>
        <v/>
      </c>
      <c r="P102" s="75" t="str">
        <f t="shared" si="21"/>
        <v/>
      </c>
      <c r="Q102" s="75" t="str">
        <f t="shared" si="22"/>
        <v/>
      </c>
      <c r="R102" s="75" t="str">
        <f t="shared" si="24"/>
        <v/>
      </c>
      <c r="V102" s="75">
        <v>3834</v>
      </c>
      <c r="W102" s="75" t="s">
        <v>154</v>
      </c>
      <c r="Y102" s="290" t="str">
        <f t="shared" si="25"/>
        <v>38</v>
      </c>
      <c r="Z102" s="75" t="str">
        <f t="shared" si="26"/>
        <v>383</v>
      </c>
      <c r="AB102" t="s">
        <v>1634</v>
      </c>
      <c r="AC102" t="s">
        <v>1635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15"/>
        <v/>
      </c>
      <c r="E103" s="85"/>
      <c r="F103" s="80" t="str">
        <f t="shared" si="16"/>
        <v/>
      </c>
      <c r="G103" s="118"/>
      <c r="H103" s="80" t="str">
        <f t="shared" si="17"/>
        <v/>
      </c>
      <c r="I103" s="80" t="str">
        <f t="shared" si="18"/>
        <v/>
      </c>
      <c r="J103" s="117"/>
      <c r="K103" s="117"/>
      <c r="L103" s="117"/>
      <c r="M103" s="84"/>
      <c r="O103" s="75" t="str">
        <f t="shared" si="20"/>
        <v/>
      </c>
      <c r="P103" s="75" t="str">
        <f t="shared" si="21"/>
        <v/>
      </c>
      <c r="Q103" s="75" t="str">
        <f t="shared" si="22"/>
        <v/>
      </c>
      <c r="R103" s="75" t="str">
        <f t="shared" si="24"/>
        <v/>
      </c>
      <c r="V103" s="75">
        <v>3835</v>
      </c>
      <c r="W103" s="75" t="s">
        <v>155</v>
      </c>
      <c r="Y103" s="290" t="str">
        <f t="shared" si="25"/>
        <v>38</v>
      </c>
      <c r="Z103" s="75" t="str">
        <f t="shared" si="26"/>
        <v>383</v>
      </c>
      <c r="AB103" t="s">
        <v>1896</v>
      </c>
      <c r="AC103" t="s">
        <v>1897</v>
      </c>
      <c r="AD103" s="75" t="s">
        <v>5143</v>
      </c>
      <c r="AE103" s="75" t="s">
        <v>5144</v>
      </c>
      <c r="AF103" s="75" t="s">
        <v>5165</v>
      </c>
      <c r="AG103" s="75" t="s">
        <v>5175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15"/>
        <v/>
      </c>
      <c r="E104" s="85"/>
      <c r="F104" s="80" t="str">
        <f t="shared" si="16"/>
        <v/>
      </c>
      <c r="G104" s="118"/>
      <c r="H104" s="80" t="str">
        <f t="shared" si="17"/>
        <v/>
      </c>
      <c r="I104" s="80" t="str">
        <f t="shared" si="18"/>
        <v/>
      </c>
      <c r="J104" s="117"/>
      <c r="K104" s="117"/>
      <c r="L104" s="117"/>
      <c r="M104" s="84"/>
      <c r="O104" s="75" t="str">
        <f t="shared" si="20"/>
        <v/>
      </c>
      <c r="P104" s="75" t="str">
        <f t="shared" si="21"/>
        <v/>
      </c>
      <c r="Q104" s="75" t="str">
        <f t="shared" si="22"/>
        <v/>
      </c>
      <c r="R104" s="75" t="str">
        <f t="shared" si="24"/>
        <v/>
      </c>
      <c r="V104" s="127">
        <v>3861</v>
      </c>
      <c r="W104" s="75" t="s">
        <v>660</v>
      </c>
      <c r="X104" s="127"/>
      <c r="Y104" s="290" t="str">
        <f>LEFT(V104,2)</f>
        <v>38</v>
      </c>
      <c r="Z104" s="127" t="str">
        <f>LEFT(V104,3)</f>
        <v>386</v>
      </c>
      <c r="AB104" t="s">
        <v>1898</v>
      </c>
      <c r="AC104" t="s">
        <v>1899</v>
      </c>
      <c r="AD104" s="75" t="s">
        <v>5147</v>
      </c>
      <c r="AE104" s="75" t="s">
        <v>5148</v>
      </c>
      <c r="AF104" s="75" t="s">
        <v>5165</v>
      </c>
      <c r="AG104" s="75" t="s">
        <v>5173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15"/>
        <v/>
      </c>
      <c r="E105" s="85"/>
      <c r="F105" s="80" t="str">
        <f t="shared" si="16"/>
        <v/>
      </c>
      <c r="G105" s="118"/>
      <c r="H105" s="80" t="str">
        <f t="shared" si="17"/>
        <v/>
      </c>
      <c r="I105" s="80" t="str">
        <f t="shared" si="18"/>
        <v/>
      </c>
      <c r="J105" s="117"/>
      <c r="K105" s="117"/>
      <c r="L105" s="117"/>
      <c r="M105" s="84"/>
      <c r="O105" s="75" t="str">
        <f t="shared" si="20"/>
        <v/>
      </c>
      <c r="P105" s="75" t="str">
        <f t="shared" si="21"/>
        <v/>
      </c>
      <c r="Q105" s="75" t="str">
        <f t="shared" si="22"/>
        <v/>
      </c>
      <c r="R105" s="75" t="str">
        <f t="shared" si="24"/>
        <v/>
      </c>
      <c r="V105" s="126">
        <v>3862</v>
      </c>
      <c r="W105" s="75" t="s">
        <v>661</v>
      </c>
      <c r="Y105" s="290" t="str">
        <f>LEFT(V105,2)</f>
        <v>38</v>
      </c>
      <c r="Z105" s="75" t="str">
        <f>LEFT(V105,3)</f>
        <v>386</v>
      </c>
      <c r="AB105" t="s">
        <v>1900</v>
      </c>
      <c r="AC105" t="s">
        <v>1901</v>
      </c>
      <c r="AD105" s="75" t="s">
        <v>5147</v>
      </c>
      <c r="AE105" s="75" t="s">
        <v>5148</v>
      </c>
      <c r="AF105" s="75" t="s">
        <v>5165</v>
      </c>
      <c r="AG105" s="75" t="s">
        <v>5173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15"/>
        <v/>
      </c>
      <c r="E106" s="85"/>
      <c r="F106" s="80" t="str">
        <f t="shared" si="16"/>
        <v/>
      </c>
      <c r="G106" s="118"/>
      <c r="H106" s="80" t="str">
        <f t="shared" si="17"/>
        <v/>
      </c>
      <c r="I106" s="80" t="str">
        <f t="shared" si="18"/>
        <v/>
      </c>
      <c r="J106" s="117"/>
      <c r="K106" s="117"/>
      <c r="L106" s="117"/>
      <c r="M106" s="84"/>
      <c r="O106" s="75" t="str">
        <f t="shared" si="20"/>
        <v/>
      </c>
      <c r="P106" s="75" t="str">
        <f t="shared" si="21"/>
        <v/>
      </c>
      <c r="Q106" s="75" t="str">
        <f t="shared" si="22"/>
        <v/>
      </c>
      <c r="R106" s="75" t="str">
        <f t="shared" si="24"/>
        <v/>
      </c>
      <c r="V106" s="126">
        <v>3863</v>
      </c>
      <c r="W106" s="75" t="s">
        <v>662</v>
      </c>
      <c r="Y106" s="290" t="str">
        <f>LEFT(V106,2)</f>
        <v>38</v>
      </c>
      <c r="Z106" s="75" t="str">
        <f>LEFT(V106,3)</f>
        <v>386</v>
      </c>
      <c r="AB106" t="s">
        <v>1902</v>
      </c>
      <c r="AC106" t="s">
        <v>1903</v>
      </c>
      <c r="AD106" s="75" t="s">
        <v>5147</v>
      </c>
      <c r="AE106" s="75" t="s">
        <v>5148</v>
      </c>
      <c r="AF106" s="75" t="s">
        <v>5165</v>
      </c>
      <c r="AG106" s="75" t="s">
        <v>5173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15"/>
        <v/>
      </c>
      <c r="E107" s="85"/>
      <c r="F107" s="80" t="str">
        <f t="shared" si="16"/>
        <v/>
      </c>
      <c r="G107" s="118"/>
      <c r="H107" s="80" t="str">
        <f t="shared" si="17"/>
        <v/>
      </c>
      <c r="I107" s="80" t="str">
        <f t="shared" si="18"/>
        <v/>
      </c>
      <c r="J107" s="117"/>
      <c r="K107" s="117"/>
      <c r="L107" s="117"/>
      <c r="M107" s="84"/>
      <c r="O107" s="75" t="str">
        <f t="shared" si="20"/>
        <v/>
      </c>
      <c r="P107" s="75" t="str">
        <f t="shared" si="21"/>
        <v/>
      </c>
      <c r="Q107" s="75" t="str">
        <f t="shared" si="22"/>
        <v/>
      </c>
      <c r="R107" s="75" t="str">
        <f t="shared" si="24"/>
        <v/>
      </c>
      <c r="V107" s="75">
        <v>4111</v>
      </c>
      <c r="W107" s="75" t="s">
        <v>156</v>
      </c>
      <c r="Y107" s="290" t="str">
        <f t="shared" ref="Y107:Y124" si="27">LEFT(V107,2)</f>
        <v>41</v>
      </c>
      <c r="Z107" s="75" t="str">
        <f t="shared" ref="Z107:Z141" si="28">LEFT(V107,3)</f>
        <v>411</v>
      </c>
      <c r="AB107" t="s">
        <v>1904</v>
      </c>
      <c r="AC107" t="s">
        <v>1905</v>
      </c>
      <c r="AD107" s="75" t="s">
        <v>5147</v>
      </c>
      <c r="AE107" s="75" t="s">
        <v>5148</v>
      </c>
      <c r="AF107" s="75" t="s">
        <v>5165</v>
      </c>
      <c r="AG107" s="75" t="s">
        <v>5173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15"/>
        <v/>
      </c>
      <c r="E108" s="85"/>
      <c r="F108" s="80" t="str">
        <f t="shared" si="16"/>
        <v/>
      </c>
      <c r="G108" s="118"/>
      <c r="H108" s="80" t="str">
        <f t="shared" si="17"/>
        <v/>
      </c>
      <c r="I108" s="80" t="str">
        <f t="shared" si="18"/>
        <v/>
      </c>
      <c r="J108" s="117"/>
      <c r="K108" s="117"/>
      <c r="L108" s="117"/>
      <c r="M108" s="84"/>
      <c r="O108" s="75" t="str">
        <f t="shared" si="20"/>
        <v/>
      </c>
      <c r="P108" s="75" t="str">
        <f t="shared" si="21"/>
        <v/>
      </c>
      <c r="Q108" s="75" t="str">
        <f t="shared" si="22"/>
        <v/>
      </c>
      <c r="R108" s="75" t="str">
        <f t="shared" si="24"/>
        <v/>
      </c>
      <c r="V108" s="75">
        <v>4113</v>
      </c>
      <c r="W108" s="75" t="s">
        <v>190</v>
      </c>
      <c r="Y108" s="290" t="str">
        <f t="shared" si="27"/>
        <v>41</v>
      </c>
      <c r="Z108" s="75" t="str">
        <f t="shared" si="28"/>
        <v>411</v>
      </c>
      <c r="AB108" t="s">
        <v>1906</v>
      </c>
      <c r="AC108" t="s">
        <v>1907</v>
      </c>
      <c r="AD108" s="75" t="s">
        <v>5147</v>
      </c>
      <c r="AE108" s="75" t="s">
        <v>5148</v>
      </c>
      <c r="AF108" s="75" t="s">
        <v>5165</v>
      </c>
      <c r="AG108" s="75" t="s">
        <v>5173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15"/>
        <v/>
      </c>
      <c r="E109" s="85"/>
      <c r="F109" s="80" t="str">
        <f t="shared" si="16"/>
        <v/>
      </c>
      <c r="G109" s="118"/>
      <c r="H109" s="80" t="str">
        <f t="shared" si="17"/>
        <v/>
      </c>
      <c r="I109" s="80" t="str">
        <f t="shared" si="18"/>
        <v/>
      </c>
      <c r="J109" s="117"/>
      <c r="K109" s="117"/>
      <c r="L109" s="117"/>
      <c r="M109" s="84"/>
      <c r="O109" s="75" t="str">
        <f t="shared" si="20"/>
        <v/>
      </c>
      <c r="P109" s="75" t="str">
        <f t="shared" si="21"/>
        <v/>
      </c>
      <c r="Q109" s="75" t="str">
        <f t="shared" si="22"/>
        <v/>
      </c>
      <c r="R109" s="75" t="str">
        <f t="shared" si="24"/>
        <v/>
      </c>
      <c r="V109" s="75">
        <v>4122</v>
      </c>
      <c r="W109" s="75" t="s">
        <v>157</v>
      </c>
      <c r="Y109" s="290" t="str">
        <f t="shared" si="27"/>
        <v>41</v>
      </c>
      <c r="Z109" s="75" t="str">
        <f t="shared" si="28"/>
        <v>412</v>
      </c>
      <c r="AB109" t="s">
        <v>1920</v>
      </c>
      <c r="AC109" t="s">
        <v>1921</v>
      </c>
      <c r="AD109" s="75" t="s">
        <v>5143</v>
      </c>
      <c r="AE109" s="75" t="s">
        <v>5144</v>
      </c>
      <c r="AF109" s="75" t="s">
        <v>5165</v>
      </c>
      <c r="AG109" s="75" t="s">
        <v>5175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15"/>
        <v/>
      </c>
      <c r="E110" s="85"/>
      <c r="F110" s="80" t="str">
        <f t="shared" si="16"/>
        <v/>
      </c>
      <c r="G110" s="118"/>
      <c r="H110" s="80" t="str">
        <f t="shared" si="17"/>
        <v/>
      </c>
      <c r="I110" s="80" t="str">
        <f t="shared" si="18"/>
        <v/>
      </c>
      <c r="J110" s="117"/>
      <c r="K110" s="117"/>
      <c r="L110" s="117"/>
      <c r="M110" s="84"/>
      <c r="O110" s="75" t="str">
        <f t="shared" si="20"/>
        <v/>
      </c>
      <c r="P110" s="75" t="str">
        <f t="shared" si="21"/>
        <v/>
      </c>
      <c r="Q110" s="75" t="str">
        <f t="shared" si="22"/>
        <v/>
      </c>
      <c r="R110" s="75" t="str">
        <f t="shared" si="24"/>
        <v/>
      </c>
      <c r="V110" s="75">
        <v>4123</v>
      </c>
      <c r="W110" s="75" t="s">
        <v>128</v>
      </c>
      <c r="Y110" s="290" t="str">
        <f t="shared" si="27"/>
        <v>41</v>
      </c>
      <c r="Z110" s="75" t="str">
        <f t="shared" si="28"/>
        <v>412</v>
      </c>
      <c r="AB110" t="s">
        <v>1636</v>
      </c>
      <c r="AC110" t="s">
        <v>1637</v>
      </c>
      <c r="AD110" s="75" t="s">
        <v>5141</v>
      </c>
      <c r="AE110" s="75" t="s">
        <v>5142</v>
      </c>
      <c r="AF110" s="75" t="s">
        <v>5167</v>
      </c>
      <c r="AG110" s="75" t="s">
        <v>5168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15"/>
        <v/>
      </c>
      <c r="E111" s="85"/>
      <c r="F111" s="80" t="str">
        <f t="shared" si="16"/>
        <v/>
      </c>
      <c r="G111" s="118"/>
      <c r="H111" s="80" t="str">
        <f t="shared" si="17"/>
        <v/>
      </c>
      <c r="I111" s="80" t="str">
        <f t="shared" si="18"/>
        <v/>
      </c>
      <c r="J111" s="117"/>
      <c r="K111" s="117"/>
      <c r="L111" s="117"/>
      <c r="M111" s="84"/>
      <c r="O111" s="75" t="str">
        <f t="shared" si="20"/>
        <v/>
      </c>
      <c r="P111" s="75" t="str">
        <f t="shared" si="21"/>
        <v/>
      </c>
      <c r="Q111" s="75" t="str">
        <f t="shared" si="22"/>
        <v/>
      </c>
      <c r="R111" s="75" t="str">
        <f t="shared" si="24"/>
        <v/>
      </c>
      <c r="V111" s="75">
        <v>4124</v>
      </c>
      <c r="W111" s="75" t="s">
        <v>114</v>
      </c>
      <c r="Y111" s="290" t="str">
        <f t="shared" si="27"/>
        <v>41</v>
      </c>
      <c r="Z111" s="75" t="str">
        <f t="shared" si="28"/>
        <v>412</v>
      </c>
      <c r="AB111" t="s">
        <v>1636</v>
      </c>
      <c r="AC111" t="s">
        <v>1637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15"/>
        <v/>
      </c>
      <c r="E112" s="85"/>
      <c r="F112" s="80" t="str">
        <f t="shared" si="16"/>
        <v/>
      </c>
      <c r="G112" s="118"/>
      <c r="H112" s="80" t="str">
        <f t="shared" si="17"/>
        <v/>
      </c>
      <c r="I112" s="80" t="str">
        <f t="shared" si="18"/>
        <v/>
      </c>
      <c r="J112" s="117"/>
      <c r="K112" s="117"/>
      <c r="L112" s="117"/>
      <c r="M112" s="84"/>
      <c r="O112" s="75" t="str">
        <f t="shared" si="20"/>
        <v/>
      </c>
      <c r="P112" s="75" t="str">
        <f t="shared" si="21"/>
        <v/>
      </c>
      <c r="Q112" s="75" t="str">
        <f t="shared" si="22"/>
        <v/>
      </c>
      <c r="R112" s="75" t="str">
        <f t="shared" si="24"/>
        <v/>
      </c>
      <c r="V112" s="75">
        <v>4126</v>
      </c>
      <c r="W112" s="75" t="s">
        <v>158</v>
      </c>
      <c r="Y112" s="290" t="str">
        <f t="shared" si="27"/>
        <v>41</v>
      </c>
      <c r="Z112" s="75" t="str">
        <f t="shared" si="28"/>
        <v>412</v>
      </c>
      <c r="AB112" t="s">
        <v>950</v>
      </c>
      <c r="AC112" t="s">
        <v>951</v>
      </c>
      <c r="AD112" s="75" t="s">
        <v>5143</v>
      </c>
      <c r="AE112" s="75" t="s">
        <v>5144</v>
      </c>
      <c r="AF112" s="75" t="s">
        <v>5165</v>
      </c>
      <c r="AG112" s="75" t="s">
        <v>5175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15"/>
        <v/>
      </c>
      <c r="E113" s="85"/>
      <c r="F113" s="80" t="str">
        <f t="shared" si="16"/>
        <v/>
      </c>
      <c r="G113" s="118"/>
      <c r="H113" s="80" t="str">
        <f t="shared" si="17"/>
        <v/>
      </c>
      <c r="I113" s="80" t="str">
        <f t="shared" si="18"/>
        <v/>
      </c>
      <c r="J113" s="117"/>
      <c r="K113" s="117"/>
      <c r="L113" s="117"/>
      <c r="M113" s="84"/>
      <c r="O113" s="75" t="str">
        <f t="shared" si="20"/>
        <v/>
      </c>
      <c r="P113" s="75" t="str">
        <f t="shared" si="21"/>
        <v/>
      </c>
      <c r="Q113" s="75" t="str">
        <f t="shared" si="22"/>
        <v/>
      </c>
      <c r="R113" s="75" t="str">
        <f t="shared" si="24"/>
        <v/>
      </c>
      <c r="V113" s="75">
        <v>4211</v>
      </c>
      <c r="W113" s="75" t="s">
        <v>172</v>
      </c>
      <c r="Y113" s="290" t="str">
        <f t="shared" si="27"/>
        <v>42</v>
      </c>
      <c r="Z113" s="75" t="str">
        <f t="shared" si="28"/>
        <v>421</v>
      </c>
      <c r="AB113" t="s">
        <v>952</v>
      </c>
      <c r="AC113" t="s">
        <v>953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15"/>
        <v/>
      </c>
      <c r="E114" s="85"/>
      <c r="F114" s="80" t="str">
        <f t="shared" si="16"/>
        <v/>
      </c>
      <c r="G114" s="118"/>
      <c r="H114" s="80" t="str">
        <f t="shared" si="17"/>
        <v/>
      </c>
      <c r="I114" s="80" t="str">
        <f t="shared" si="18"/>
        <v/>
      </c>
      <c r="J114" s="117"/>
      <c r="K114" s="117"/>
      <c r="L114" s="117"/>
      <c r="M114" s="84"/>
      <c r="O114" s="75" t="str">
        <f t="shared" si="20"/>
        <v/>
      </c>
      <c r="P114" s="75" t="str">
        <f t="shared" si="21"/>
        <v/>
      </c>
      <c r="Q114" s="75" t="str">
        <f t="shared" si="22"/>
        <v/>
      </c>
      <c r="R114" s="75" t="str">
        <f t="shared" si="24"/>
        <v/>
      </c>
      <c r="V114" s="75">
        <v>4212</v>
      </c>
      <c r="W114" s="75" t="s">
        <v>60</v>
      </c>
      <c r="Y114" s="290" t="str">
        <f t="shared" si="27"/>
        <v>42</v>
      </c>
      <c r="Z114" s="75" t="str">
        <f t="shared" si="28"/>
        <v>421</v>
      </c>
      <c r="AB114" t="s">
        <v>959</v>
      </c>
      <c r="AC114" t="s">
        <v>960</v>
      </c>
      <c r="AD114" s="75" t="s">
        <v>5141</v>
      </c>
      <c r="AE114" s="75" t="s">
        <v>5142</v>
      </c>
      <c r="AF114" s="75" t="s">
        <v>5167</v>
      </c>
      <c r="AG114" s="75" t="s">
        <v>5168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5"/>
        <v/>
      </c>
      <c r="E115" s="85"/>
      <c r="F115" s="80" t="str">
        <f t="shared" si="16"/>
        <v/>
      </c>
      <c r="G115" s="118"/>
      <c r="H115" s="80" t="str">
        <f t="shared" si="17"/>
        <v/>
      </c>
      <c r="I115" s="80" t="str">
        <f t="shared" si="18"/>
        <v/>
      </c>
      <c r="J115" s="117"/>
      <c r="K115" s="117"/>
      <c r="L115" s="117"/>
      <c r="M115" s="84"/>
      <c r="O115" s="75" t="str">
        <f t="shared" si="20"/>
        <v/>
      </c>
      <c r="P115" s="75" t="str">
        <f t="shared" si="21"/>
        <v/>
      </c>
      <c r="Q115" s="75" t="str">
        <f t="shared" si="22"/>
        <v/>
      </c>
      <c r="R115" s="75" t="str">
        <f t="shared" si="24"/>
        <v/>
      </c>
      <c r="V115" s="75">
        <v>4213</v>
      </c>
      <c r="W115" s="75" t="s">
        <v>159</v>
      </c>
      <c r="Y115" s="290" t="str">
        <f t="shared" si="27"/>
        <v>42</v>
      </c>
      <c r="Z115" s="75" t="str">
        <f t="shared" si="28"/>
        <v>421</v>
      </c>
      <c r="AB115" t="s">
        <v>1638</v>
      </c>
      <c r="AC115" t="s">
        <v>1639</v>
      </c>
      <c r="AD115" s="75" t="s">
        <v>5141</v>
      </c>
      <c r="AE115" s="75" t="s">
        <v>5142</v>
      </c>
      <c r="AF115" s="75" t="s">
        <v>5167</v>
      </c>
      <c r="AG115" s="75" t="s">
        <v>5168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15"/>
        <v/>
      </c>
      <c r="E116" s="85"/>
      <c r="F116" s="80" t="str">
        <f t="shared" si="16"/>
        <v/>
      </c>
      <c r="G116" s="118"/>
      <c r="H116" s="80" t="str">
        <f t="shared" si="17"/>
        <v/>
      </c>
      <c r="I116" s="80" t="str">
        <f t="shared" si="18"/>
        <v/>
      </c>
      <c r="J116" s="117"/>
      <c r="K116" s="117"/>
      <c r="L116" s="117"/>
      <c r="M116" s="84"/>
      <c r="O116" s="75" t="str">
        <f t="shared" si="20"/>
        <v/>
      </c>
      <c r="P116" s="75" t="str">
        <f t="shared" si="21"/>
        <v/>
      </c>
      <c r="Q116" s="75" t="str">
        <f t="shared" si="22"/>
        <v/>
      </c>
      <c r="R116" s="75" t="str">
        <f t="shared" si="24"/>
        <v/>
      </c>
      <c r="V116" s="75">
        <v>4214</v>
      </c>
      <c r="W116" s="75" t="s">
        <v>160</v>
      </c>
      <c r="Y116" s="290" t="str">
        <f t="shared" si="27"/>
        <v>42</v>
      </c>
      <c r="Z116" s="75" t="str">
        <f t="shared" si="28"/>
        <v>421</v>
      </c>
      <c r="AB116" t="s">
        <v>1922</v>
      </c>
      <c r="AC116" t="s">
        <v>1923</v>
      </c>
      <c r="AD116" s="75" t="s">
        <v>5141</v>
      </c>
      <c r="AE116" s="75" t="s">
        <v>5142</v>
      </c>
      <c r="AF116" s="75" t="s">
        <v>5167</v>
      </c>
      <c r="AG116" s="75" t="s">
        <v>5168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15"/>
        <v/>
      </c>
      <c r="E117" s="85"/>
      <c r="F117" s="80" t="str">
        <f t="shared" si="16"/>
        <v/>
      </c>
      <c r="G117" s="118"/>
      <c r="H117" s="80" t="str">
        <f t="shared" si="17"/>
        <v/>
      </c>
      <c r="I117" s="80" t="str">
        <f t="shared" si="18"/>
        <v/>
      </c>
      <c r="J117" s="117"/>
      <c r="K117" s="117"/>
      <c r="L117" s="117"/>
      <c r="M117" s="84"/>
      <c r="O117" s="75" t="str">
        <f t="shared" si="20"/>
        <v/>
      </c>
      <c r="P117" s="75" t="str">
        <f t="shared" si="21"/>
        <v/>
      </c>
      <c r="Q117" s="75" t="str">
        <f t="shared" si="22"/>
        <v/>
      </c>
      <c r="R117" s="75" t="str">
        <f t="shared" si="24"/>
        <v/>
      </c>
      <c r="V117" s="75">
        <v>4221</v>
      </c>
      <c r="W117" s="75" t="s">
        <v>95</v>
      </c>
      <c r="Y117" s="290" t="str">
        <f t="shared" si="27"/>
        <v>42</v>
      </c>
      <c r="Z117" s="75" t="str">
        <f t="shared" si="28"/>
        <v>422</v>
      </c>
      <c r="AB117" t="s">
        <v>1640</v>
      </c>
      <c r="AC117" t="s">
        <v>1641</v>
      </c>
      <c r="AD117" s="75" t="s">
        <v>5143</v>
      </c>
      <c r="AE117" s="75" t="s">
        <v>5144</v>
      </c>
      <c r="AF117" s="75" t="s">
        <v>5165</v>
      </c>
      <c r="AG117" s="75" t="s">
        <v>5175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15"/>
        <v/>
      </c>
      <c r="E118" s="85"/>
      <c r="F118" s="80" t="str">
        <f t="shared" si="16"/>
        <v/>
      </c>
      <c r="G118" s="118"/>
      <c r="H118" s="80" t="str">
        <f t="shared" si="17"/>
        <v/>
      </c>
      <c r="I118" s="80" t="str">
        <f t="shared" si="18"/>
        <v/>
      </c>
      <c r="J118" s="117"/>
      <c r="K118" s="117"/>
      <c r="L118" s="117"/>
      <c r="M118" s="84"/>
      <c r="O118" s="75" t="str">
        <f t="shared" si="20"/>
        <v/>
      </c>
      <c r="P118" s="75" t="str">
        <f t="shared" si="21"/>
        <v/>
      </c>
      <c r="Q118" s="75" t="str">
        <f t="shared" si="22"/>
        <v/>
      </c>
      <c r="R118" s="75" t="str">
        <f t="shared" si="24"/>
        <v/>
      </c>
      <c r="V118" s="75">
        <v>4222</v>
      </c>
      <c r="W118" s="75" t="s">
        <v>106</v>
      </c>
      <c r="Y118" s="290" t="str">
        <f t="shared" si="27"/>
        <v>42</v>
      </c>
      <c r="Z118" s="75" t="str">
        <f t="shared" si="28"/>
        <v>422</v>
      </c>
      <c r="AB118" t="s">
        <v>1924</v>
      </c>
      <c r="AC118" t="s">
        <v>1925</v>
      </c>
      <c r="AD118" s="75" t="s">
        <v>5143</v>
      </c>
      <c r="AE118" s="75" t="s">
        <v>5144</v>
      </c>
      <c r="AF118" s="75" t="s">
        <v>5165</v>
      </c>
      <c r="AG118" s="75" t="s">
        <v>5175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15"/>
        <v/>
      </c>
      <c r="E119" s="85"/>
      <c r="F119" s="80" t="str">
        <f t="shared" si="16"/>
        <v/>
      </c>
      <c r="G119" s="118"/>
      <c r="H119" s="80" t="str">
        <f t="shared" si="17"/>
        <v/>
      </c>
      <c r="I119" s="80" t="str">
        <f t="shared" si="18"/>
        <v/>
      </c>
      <c r="J119" s="117"/>
      <c r="K119" s="117"/>
      <c r="L119" s="117"/>
      <c r="M119" s="84"/>
      <c r="O119" s="75" t="str">
        <f t="shared" si="20"/>
        <v/>
      </c>
      <c r="P119" s="75" t="str">
        <f t="shared" si="21"/>
        <v/>
      </c>
      <c r="Q119" s="75" t="str">
        <f t="shared" si="22"/>
        <v/>
      </c>
      <c r="R119" s="75" t="str">
        <f t="shared" si="24"/>
        <v/>
      </c>
      <c r="V119" s="75">
        <v>4223</v>
      </c>
      <c r="W119" s="75" t="s">
        <v>119</v>
      </c>
      <c r="Y119" s="290" t="str">
        <f t="shared" si="27"/>
        <v>42</v>
      </c>
      <c r="Z119" s="75" t="str">
        <f t="shared" si="28"/>
        <v>422</v>
      </c>
      <c r="AB119" t="s">
        <v>1926</v>
      </c>
      <c r="AC119" t="s">
        <v>1927</v>
      </c>
      <c r="AD119" s="75" t="s">
        <v>5143</v>
      </c>
      <c r="AE119" s="75" t="s">
        <v>5144</v>
      </c>
      <c r="AF119" s="75" t="s">
        <v>5165</v>
      </c>
      <c r="AG119" s="75" t="s">
        <v>5175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15"/>
        <v/>
      </c>
      <c r="E120" s="85"/>
      <c r="F120" s="80" t="str">
        <f t="shared" si="16"/>
        <v/>
      </c>
      <c r="G120" s="118"/>
      <c r="H120" s="80" t="str">
        <f t="shared" si="17"/>
        <v/>
      </c>
      <c r="I120" s="80" t="str">
        <f t="shared" si="18"/>
        <v/>
      </c>
      <c r="J120" s="117"/>
      <c r="K120" s="117"/>
      <c r="L120" s="117"/>
      <c r="M120" s="84"/>
      <c r="O120" s="75" t="str">
        <f t="shared" si="20"/>
        <v/>
      </c>
      <c r="P120" s="75" t="str">
        <f t="shared" si="21"/>
        <v/>
      </c>
      <c r="Q120" s="75" t="str">
        <f t="shared" si="22"/>
        <v/>
      </c>
      <c r="R120" s="75" t="str">
        <f t="shared" si="24"/>
        <v/>
      </c>
      <c r="V120" s="75">
        <v>4224</v>
      </c>
      <c r="W120" s="75" t="s">
        <v>112</v>
      </c>
      <c r="Y120" s="290" t="str">
        <f t="shared" si="27"/>
        <v>42</v>
      </c>
      <c r="Z120" s="75" t="str">
        <f t="shared" si="28"/>
        <v>422</v>
      </c>
      <c r="AB120" t="s">
        <v>1928</v>
      </c>
      <c r="AC120" t="s">
        <v>1929</v>
      </c>
      <c r="AD120" s="75" t="s">
        <v>5143</v>
      </c>
      <c r="AE120" s="75" t="s">
        <v>5144</v>
      </c>
      <c r="AF120" s="75" t="s">
        <v>5165</v>
      </c>
      <c r="AG120" s="75" t="s">
        <v>5175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15"/>
        <v/>
      </c>
      <c r="E121" s="85"/>
      <c r="F121" s="80" t="str">
        <f t="shared" si="16"/>
        <v/>
      </c>
      <c r="G121" s="118"/>
      <c r="H121" s="80" t="str">
        <f t="shared" si="17"/>
        <v/>
      </c>
      <c r="I121" s="80" t="str">
        <f t="shared" si="18"/>
        <v/>
      </c>
      <c r="J121" s="117"/>
      <c r="K121" s="117"/>
      <c r="L121" s="117"/>
      <c r="M121" s="84"/>
      <c r="O121" s="75" t="str">
        <f t="shared" si="20"/>
        <v/>
      </c>
      <c r="P121" s="75" t="str">
        <f t="shared" si="21"/>
        <v/>
      </c>
      <c r="Q121" s="75" t="str">
        <f t="shared" si="22"/>
        <v/>
      </c>
      <c r="R121" s="75" t="str">
        <f t="shared" si="24"/>
        <v/>
      </c>
      <c r="V121" s="75">
        <v>4225</v>
      </c>
      <c r="W121" s="75" t="s">
        <v>116</v>
      </c>
      <c r="Y121" s="290" t="str">
        <f t="shared" si="27"/>
        <v>42</v>
      </c>
      <c r="Z121" s="75" t="str">
        <f t="shared" si="28"/>
        <v>422</v>
      </c>
      <c r="AB121" t="s">
        <v>1930</v>
      </c>
      <c r="AC121" t="s">
        <v>1931</v>
      </c>
      <c r="AD121" s="75" t="s">
        <v>5143</v>
      </c>
      <c r="AE121" s="75" t="s">
        <v>5144</v>
      </c>
      <c r="AF121" s="75" t="s">
        <v>5165</v>
      </c>
      <c r="AG121" s="75" t="s">
        <v>5175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15"/>
        <v/>
      </c>
      <c r="E122" s="85"/>
      <c r="F122" s="80" t="str">
        <f t="shared" si="16"/>
        <v/>
      </c>
      <c r="G122" s="118"/>
      <c r="H122" s="80" t="str">
        <f t="shared" si="17"/>
        <v/>
      </c>
      <c r="I122" s="80" t="str">
        <f t="shared" si="18"/>
        <v/>
      </c>
      <c r="J122" s="117"/>
      <c r="K122" s="117"/>
      <c r="L122" s="117"/>
      <c r="M122" s="84"/>
      <c r="O122" s="75" t="str">
        <f t="shared" si="20"/>
        <v/>
      </c>
      <c r="P122" s="75" t="str">
        <f t="shared" si="21"/>
        <v/>
      </c>
      <c r="Q122" s="75" t="str">
        <f t="shared" si="22"/>
        <v/>
      </c>
      <c r="R122" s="75" t="str">
        <f t="shared" si="24"/>
        <v/>
      </c>
      <c r="V122" s="75">
        <v>4226</v>
      </c>
      <c r="W122" s="75" t="s">
        <v>161</v>
      </c>
      <c r="Y122" s="290" t="str">
        <f t="shared" si="27"/>
        <v>42</v>
      </c>
      <c r="Z122" s="75" t="str">
        <f t="shared" si="28"/>
        <v>422</v>
      </c>
      <c r="AB122" t="s">
        <v>1932</v>
      </c>
      <c r="AC122" t="s">
        <v>1933</v>
      </c>
      <c r="AD122" s="75" t="s">
        <v>5143</v>
      </c>
      <c r="AE122" s="75" t="s">
        <v>5144</v>
      </c>
      <c r="AF122" s="75" t="s">
        <v>5165</v>
      </c>
      <c r="AG122" s="75" t="s">
        <v>5175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5"/>
        <v/>
      </c>
      <c r="E123" s="85"/>
      <c r="F123" s="80" t="str">
        <f t="shared" si="16"/>
        <v/>
      </c>
      <c r="G123" s="118"/>
      <c r="H123" s="80" t="str">
        <f t="shared" si="17"/>
        <v/>
      </c>
      <c r="I123" s="80" t="str">
        <f t="shared" si="18"/>
        <v/>
      </c>
      <c r="J123" s="117"/>
      <c r="K123" s="117"/>
      <c r="L123" s="117"/>
      <c r="M123" s="84"/>
      <c r="O123" s="75" t="str">
        <f t="shared" si="20"/>
        <v/>
      </c>
      <c r="P123" s="75" t="str">
        <f t="shared" si="21"/>
        <v/>
      </c>
      <c r="Q123" s="75" t="str">
        <f t="shared" si="22"/>
        <v/>
      </c>
      <c r="R123" s="75" t="str">
        <f t="shared" si="24"/>
        <v/>
      </c>
      <c r="V123" s="75">
        <v>4227</v>
      </c>
      <c r="W123" s="75" t="s">
        <v>129</v>
      </c>
      <c r="Y123" s="290" t="str">
        <f t="shared" si="27"/>
        <v>42</v>
      </c>
      <c r="Z123" s="75" t="str">
        <f t="shared" si="28"/>
        <v>422</v>
      </c>
      <c r="AB123" t="s">
        <v>1934</v>
      </c>
      <c r="AC123" t="s">
        <v>1935</v>
      </c>
      <c r="AD123" s="75" t="s">
        <v>5143</v>
      </c>
      <c r="AE123" s="75" t="s">
        <v>5144</v>
      </c>
      <c r="AF123" s="75" t="s">
        <v>5165</v>
      </c>
      <c r="AG123" s="75" t="s">
        <v>5175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5"/>
        <v/>
      </c>
      <c r="E124" s="85"/>
      <c r="F124" s="80" t="str">
        <f t="shared" si="16"/>
        <v/>
      </c>
      <c r="G124" s="118"/>
      <c r="H124" s="80" t="str">
        <f t="shared" si="17"/>
        <v/>
      </c>
      <c r="I124" s="80" t="str">
        <f t="shared" si="18"/>
        <v/>
      </c>
      <c r="J124" s="117"/>
      <c r="K124" s="117"/>
      <c r="L124" s="117"/>
      <c r="M124" s="84"/>
      <c r="O124" s="75" t="str">
        <f t="shared" si="20"/>
        <v/>
      </c>
      <c r="P124" s="75" t="str">
        <f t="shared" si="21"/>
        <v/>
      </c>
      <c r="Q124" s="75" t="str">
        <f t="shared" si="22"/>
        <v/>
      </c>
      <c r="R124" s="75" t="str">
        <f t="shared" si="24"/>
        <v/>
      </c>
      <c r="V124" s="75">
        <v>4231</v>
      </c>
      <c r="W124" s="75" t="s">
        <v>162</v>
      </c>
      <c r="Y124" s="290" t="str">
        <f t="shared" si="27"/>
        <v>42</v>
      </c>
      <c r="Z124" s="75" t="str">
        <f t="shared" si="28"/>
        <v>423</v>
      </c>
      <c r="AB124" t="s">
        <v>1936</v>
      </c>
      <c r="AC124" t="s">
        <v>1937</v>
      </c>
      <c r="AD124" s="75" t="s">
        <v>5143</v>
      </c>
      <c r="AE124" s="75" t="s">
        <v>5144</v>
      </c>
      <c r="AF124" s="75" t="s">
        <v>5165</v>
      </c>
      <c r="AG124" s="75" t="s">
        <v>5175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5"/>
        <v/>
      </c>
      <c r="E125" s="85"/>
      <c r="F125" s="80" t="str">
        <f t="shared" si="16"/>
        <v/>
      </c>
      <c r="G125" s="118"/>
      <c r="H125" s="80" t="str">
        <f t="shared" si="17"/>
        <v/>
      </c>
      <c r="I125" s="80" t="str">
        <f t="shared" si="18"/>
        <v/>
      </c>
      <c r="J125" s="117"/>
      <c r="K125" s="117"/>
      <c r="L125" s="117"/>
      <c r="M125" s="84"/>
      <c r="O125" s="75" t="str">
        <f t="shared" si="20"/>
        <v/>
      </c>
      <c r="P125" s="75" t="str">
        <f t="shared" si="21"/>
        <v/>
      </c>
      <c r="Q125" s="75" t="str">
        <f t="shared" si="22"/>
        <v/>
      </c>
      <c r="R125" s="75" t="str">
        <f t="shared" si="24"/>
        <v/>
      </c>
      <c r="V125" s="75">
        <v>4233</v>
      </c>
      <c r="W125" s="75" t="s">
        <v>170</v>
      </c>
      <c r="Y125" s="290" t="str">
        <f t="shared" ref="Y125:Y152" si="29">LEFT(V125,2)</f>
        <v>42</v>
      </c>
      <c r="Z125" s="75" t="str">
        <f t="shared" si="28"/>
        <v>423</v>
      </c>
      <c r="AB125" t="s">
        <v>1938</v>
      </c>
      <c r="AC125" t="s">
        <v>1939</v>
      </c>
      <c r="AD125" s="75" t="s">
        <v>5141</v>
      </c>
      <c r="AE125" s="75" t="s">
        <v>5142</v>
      </c>
      <c r="AF125" s="75" t="s">
        <v>5167</v>
      </c>
      <c r="AG125" s="75" t="s">
        <v>5168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5"/>
        <v/>
      </c>
      <c r="E126" s="85"/>
      <c r="F126" s="80" t="str">
        <f t="shared" si="16"/>
        <v/>
      </c>
      <c r="G126" s="118"/>
      <c r="H126" s="80" t="str">
        <f t="shared" si="17"/>
        <v/>
      </c>
      <c r="I126" s="80" t="str">
        <f t="shared" si="18"/>
        <v/>
      </c>
      <c r="J126" s="117"/>
      <c r="K126" s="117"/>
      <c r="L126" s="117"/>
      <c r="M126" s="84"/>
      <c r="O126" s="75" t="str">
        <f t="shared" si="20"/>
        <v/>
      </c>
      <c r="P126" s="75" t="str">
        <f t="shared" si="21"/>
        <v/>
      </c>
      <c r="Q126" s="75" t="str">
        <f t="shared" si="22"/>
        <v/>
      </c>
      <c r="R126" s="75" t="str">
        <f t="shared" si="24"/>
        <v/>
      </c>
      <c r="V126" s="75">
        <v>4241</v>
      </c>
      <c r="W126" s="75" t="s">
        <v>107</v>
      </c>
      <c r="Y126" s="290" t="str">
        <f t="shared" si="29"/>
        <v>42</v>
      </c>
      <c r="Z126" s="75" t="str">
        <f t="shared" si="28"/>
        <v>424</v>
      </c>
      <c r="AB126" t="s">
        <v>1642</v>
      </c>
      <c r="AC126" t="s">
        <v>1643</v>
      </c>
      <c r="AD126" s="75" t="s">
        <v>5155</v>
      </c>
      <c r="AE126" s="75" t="s">
        <v>5156</v>
      </c>
      <c r="AF126" s="75" t="s">
        <v>5165</v>
      </c>
      <c r="AG126" s="75" t="s">
        <v>5176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5"/>
        <v/>
      </c>
      <c r="E127" s="85"/>
      <c r="F127" s="80" t="str">
        <f t="shared" si="16"/>
        <v/>
      </c>
      <c r="G127" s="118"/>
      <c r="H127" s="80" t="str">
        <f t="shared" si="17"/>
        <v/>
      </c>
      <c r="I127" s="80" t="str">
        <f t="shared" si="18"/>
        <v/>
      </c>
      <c r="J127" s="117"/>
      <c r="K127" s="117"/>
      <c r="L127" s="117"/>
      <c r="M127" s="84"/>
      <c r="O127" s="75" t="str">
        <f t="shared" si="20"/>
        <v/>
      </c>
      <c r="P127" s="75" t="str">
        <f t="shared" si="21"/>
        <v/>
      </c>
      <c r="Q127" s="75" t="str">
        <f t="shared" si="22"/>
        <v/>
      </c>
      <c r="R127" s="75" t="str">
        <f t="shared" si="24"/>
        <v/>
      </c>
      <c r="V127" s="75">
        <v>4242</v>
      </c>
      <c r="W127" s="75" t="s">
        <v>139</v>
      </c>
      <c r="Y127" s="290" t="str">
        <f t="shared" si="29"/>
        <v>42</v>
      </c>
      <c r="Z127" s="75" t="str">
        <f t="shared" si="28"/>
        <v>424</v>
      </c>
      <c r="AB127" t="s">
        <v>1940</v>
      </c>
      <c r="AC127" t="s">
        <v>1941</v>
      </c>
      <c r="AD127" s="75" t="s">
        <v>5143</v>
      </c>
      <c r="AE127" s="75" t="s">
        <v>5144</v>
      </c>
      <c r="AF127" s="75" t="s">
        <v>5165</v>
      </c>
      <c r="AG127" s="75" t="s">
        <v>5175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5"/>
        <v/>
      </c>
      <c r="E128" s="85"/>
      <c r="F128" s="80" t="str">
        <f t="shared" si="16"/>
        <v/>
      </c>
      <c r="G128" s="118"/>
      <c r="H128" s="80" t="str">
        <f t="shared" si="17"/>
        <v/>
      </c>
      <c r="I128" s="80" t="str">
        <f t="shared" si="18"/>
        <v/>
      </c>
      <c r="J128" s="117"/>
      <c r="K128" s="117"/>
      <c r="L128" s="117"/>
      <c r="M128" s="84"/>
      <c r="O128" s="75" t="str">
        <f t="shared" si="20"/>
        <v/>
      </c>
      <c r="P128" s="75" t="str">
        <f t="shared" si="21"/>
        <v/>
      </c>
      <c r="Q128" s="75" t="str">
        <f t="shared" si="22"/>
        <v/>
      </c>
      <c r="R128" s="75" t="str">
        <f t="shared" si="24"/>
        <v/>
      </c>
      <c r="V128" s="75">
        <v>4244</v>
      </c>
      <c r="W128" s="75" t="s">
        <v>171</v>
      </c>
      <c r="Y128" s="290" t="str">
        <f t="shared" si="29"/>
        <v>42</v>
      </c>
      <c r="Z128" s="75" t="str">
        <f t="shared" si="28"/>
        <v>424</v>
      </c>
      <c r="AB128" t="s">
        <v>1644</v>
      </c>
      <c r="AC128" t="s">
        <v>1645</v>
      </c>
      <c r="AD128" s="75" t="s">
        <v>5141</v>
      </c>
      <c r="AE128" s="75" t="s">
        <v>5142</v>
      </c>
      <c r="AF128" s="75" t="s">
        <v>5167</v>
      </c>
      <c r="AG128" s="75" t="s">
        <v>5168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5"/>
        <v/>
      </c>
      <c r="E129" s="85"/>
      <c r="F129" s="80" t="str">
        <f t="shared" si="16"/>
        <v/>
      </c>
      <c r="G129" s="118"/>
      <c r="H129" s="80" t="str">
        <f t="shared" si="17"/>
        <v/>
      </c>
      <c r="I129" s="80" t="str">
        <f t="shared" si="18"/>
        <v/>
      </c>
      <c r="J129" s="117"/>
      <c r="K129" s="117"/>
      <c r="L129" s="117"/>
      <c r="M129" s="84"/>
      <c r="O129" s="75" t="str">
        <f t="shared" si="20"/>
        <v/>
      </c>
      <c r="P129" s="75" t="str">
        <f t="shared" si="21"/>
        <v/>
      </c>
      <c r="Q129" s="75" t="str">
        <f t="shared" si="22"/>
        <v/>
      </c>
      <c r="R129" s="75" t="str">
        <f t="shared" si="24"/>
        <v/>
      </c>
      <c r="V129" s="75">
        <v>4251</v>
      </c>
      <c r="W129" s="75" t="s">
        <v>163</v>
      </c>
      <c r="Y129" s="290" t="str">
        <f t="shared" si="29"/>
        <v>42</v>
      </c>
      <c r="Z129" s="75" t="str">
        <f t="shared" si="28"/>
        <v>425</v>
      </c>
      <c r="AB129" t="s">
        <v>961</v>
      </c>
      <c r="AC129" t="s">
        <v>962</v>
      </c>
      <c r="AD129" s="75" t="s">
        <v>5141</v>
      </c>
      <c r="AE129" s="75" t="s">
        <v>5142</v>
      </c>
      <c r="AF129" s="75" t="s">
        <v>5167</v>
      </c>
      <c r="AG129" s="75" t="s">
        <v>5168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5"/>
        <v/>
      </c>
      <c r="E130" s="85"/>
      <c r="F130" s="80" t="str">
        <f t="shared" si="16"/>
        <v/>
      </c>
      <c r="G130" s="118"/>
      <c r="H130" s="80" t="str">
        <f t="shared" si="17"/>
        <v/>
      </c>
      <c r="I130" s="80" t="str">
        <f t="shared" si="18"/>
        <v/>
      </c>
      <c r="J130" s="117"/>
      <c r="K130" s="117"/>
      <c r="L130" s="117"/>
      <c r="M130" s="84"/>
      <c r="O130" s="75" t="str">
        <f t="shared" si="20"/>
        <v/>
      </c>
      <c r="P130" s="75" t="str">
        <f t="shared" si="21"/>
        <v/>
      </c>
      <c r="Q130" s="75" t="str">
        <f t="shared" si="22"/>
        <v/>
      </c>
      <c r="R130" s="75" t="str">
        <f t="shared" si="24"/>
        <v/>
      </c>
      <c r="V130" s="75">
        <v>4252</v>
      </c>
      <c r="W130" s="75" t="s">
        <v>164</v>
      </c>
      <c r="Y130" s="290" t="str">
        <f t="shared" si="29"/>
        <v>42</v>
      </c>
      <c r="Z130" s="75" t="str">
        <f t="shared" si="28"/>
        <v>425</v>
      </c>
      <c r="AB130" t="s">
        <v>954</v>
      </c>
      <c r="AC130" t="s">
        <v>955</v>
      </c>
      <c r="AD130" s="75" t="s">
        <v>5143</v>
      </c>
      <c r="AE130" s="75" t="s">
        <v>5144</v>
      </c>
      <c r="AF130" s="75" t="s">
        <v>5165</v>
      </c>
      <c r="AG130" s="75" t="s">
        <v>5175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30">IFERROR(VLOOKUP(C131,$S$6:$T$25,2,FALSE),"")</f>
        <v/>
      </c>
      <c r="E131" s="85"/>
      <c r="F131" s="80" t="str">
        <f t="shared" ref="F131:F194" si="31">IFERROR(VLOOKUP(E131,$V$5:$X$152,2,FALSE),"")</f>
        <v/>
      </c>
      <c r="G131" s="118"/>
      <c r="H131" s="80" t="str">
        <f t="shared" ref="H131:H194" si="32">IFERROR(VLOOKUP(G131,$AB$6:$AC$350,2,FALSE),"")</f>
        <v/>
      </c>
      <c r="I131" s="80" t="str">
        <f t="shared" ref="I131:I194" si="33">IFERROR(VLOOKUP(G131,$AB$6:$AF$350,3,FALSE),"")</f>
        <v/>
      </c>
      <c r="J131" s="117"/>
      <c r="K131" s="117"/>
      <c r="L131" s="117"/>
      <c r="M131" s="84"/>
      <c r="O131" s="75" t="str">
        <f t="shared" ref="O131:O194" si="34">LEFT(E131,3)</f>
        <v/>
      </c>
      <c r="P131" s="75" t="str">
        <f t="shared" ref="P131:P194" si="35">LEFT(E131,2)</f>
        <v/>
      </c>
      <c r="Q131" s="75" t="str">
        <f t="shared" ref="Q131:Q194" si="36">LEFT(C131,3)</f>
        <v/>
      </c>
      <c r="R131" s="75" t="str">
        <f t="shared" si="24"/>
        <v/>
      </c>
      <c r="V131" s="75">
        <v>4262</v>
      </c>
      <c r="W131" s="75" t="s">
        <v>108</v>
      </c>
      <c r="Y131" s="290" t="str">
        <f t="shared" si="29"/>
        <v>42</v>
      </c>
      <c r="Z131" s="75" t="str">
        <f t="shared" si="28"/>
        <v>426</v>
      </c>
      <c r="AB131" t="s">
        <v>1646</v>
      </c>
      <c r="AC131" t="s">
        <v>1647</v>
      </c>
      <c r="AD131" s="75" t="s">
        <v>5147</v>
      </c>
      <c r="AE131" s="75" t="s">
        <v>5148</v>
      </c>
      <c r="AF131" s="75" t="s">
        <v>5165</v>
      </c>
      <c r="AG131" s="75" t="s">
        <v>5173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30"/>
        <v/>
      </c>
      <c r="E132" s="85"/>
      <c r="F132" s="80" t="str">
        <f t="shared" si="31"/>
        <v/>
      </c>
      <c r="G132" s="118"/>
      <c r="H132" s="80" t="str">
        <f t="shared" si="32"/>
        <v/>
      </c>
      <c r="I132" s="80" t="str">
        <f t="shared" si="33"/>
        <v/>
      </c>
      <c r="J132" s="117"/>
      <c r="K132" s="117"/>
      <c r="L132" s="117"/>
      <c r="M132" s="84"/>
      <c r="O132" s="75" t="str">
        <f t="shared" si="34"/>
        <v/>
      </c>
      <c r="P132" s="75" t="str">
        <f t="shared" si="35"/>
        <v/>
      </c>
      <c r="Q132" s="75" t="str">
        <f t="shared" si="36"/>
        <v/>
      </c>
      <c r="R132" s="75" t="str">
        <f t="shared" si="24"/>
        <v/>
      </c>
      <c r="V132" s="75">
        <v>4263</v>
      </c>
      <c r="W132" s="75" t="s">
        <v>165</v>
      </c>
      <c r="Y132" s="290" t="str">
        <f t="shared" si="29"/>
        <v>42</v>
      </c>
      <c r="Z132" s="75" t="str">
        <f t="shared" si="28"/>
        <v>426</v>
      </c>
      <c r="AB132" t="s">
        <v>1700</v>
      </c>
      <c r="AC132" t="s">
        <v>1701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30"/>
        <v/>
      </c>
      <c r="E133" s="85"/>
      <c r="F133" s="80" t="str">
        <f t="shared" si="31"/>
        <v/>
      </c>
      <c r="G133" s="118"/>
      <c r="H133" s="80" t="str">
        <f t="shared" si="32"/>
        <v/>
      </c>
      <c r="I133" s="80" t="str">
        <f t="shared" si="33"/>
        <v/>
      </c>
      <c r="J133" s="117"/>
      <c r="K133" s="117"/>
      <c r="L133" s="117"/>
      <c r="M133" s="84"/>
      <c r="O133" s="75" t="str">
        <f t="shared" si="34"/>
        <v/>
      </c>
      <c r="P133" s="75" t="str">
        <f t="shared" si="35"/>
        <v/>
      </c>
      <c r="Q133" s="75" t="str">
        <f t="shared" si="36"/>
        <v/>
      </c>
      <c r="R133" s="75" t="str">
        <f t="shared" si="24"/>
        <v/>
      </c>
      <c r="V133" s="75">
        <v>4264</v>
      </c>
      <c r="W133" s="75" t="s">
        <v>120</v>
      </c>
      <c r="Y133" s="290" t="str">
        <f t="shared" si="29"/>
        <v>42</v>
      </c>
      <c r="Z133" s="75" t="str">
        <f t="shared" si="28"/>
        <v>426</v>
      </c>
      <c r="AB133" t="s">
        <v>1942</v>
      </c>
      <c r="AC133" t="s">
        <v>1943</v>
      </c>
      <c r="AD133" s="75" t="s">
        <v>5143</v>
      </c>
      <c r="AE133" s="75" t="s">
        <v>5144</v>
      </c>
      <c r="AF133" s="75" t="s">
        <v>5165</v>
      </c>
      <c r="AG133" s="75" t="s">
        <v>5175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30"/>
        <v/>
      </c>
      <c r="E134" s="85"/>
      <c r="F134" s="80" t="str">
        <f t="shared" si="31"/>
        <v/>
      </c>
      <c r="G134" s="118"/>
      <c r="H134" s="80" t="str">
        <f t="shared" si="32"/>
        <v/>
      </c>
      <c r="I134" s="80" t="str">
        <f t="shared" si="33"/>
        <v/>
      </c>
      <c r="J134" s="117"/>
      <c r="K134" s="117"/>
      <c r="L134" s="117"/>
      <c r="M134" s="84"/>
      <c r="O134" s="75" t="str">
        <f t="shared" si="34"/>
        <v/>
      </c>
      <c r="P134" s="75" t="str">
        <f t="shared" si="35"/>
        <v/>
      </c>
      <c r="Q134" s="75" t="str">
        <f t="shared" si="36"/>
        <v/>
      </c>
      <c r="R134" s="75" t="str">
        <f t="shared" si="24"/>
        <v/>
      </c>
      <c r="V134" s="75">
        <v>4312</v>
      </c>
      <c r="W134" s="75" t="s">
        <v>122</v>
      </c>
      <c r="Y134" s="290" t="str">
        <f t="shared" si="29"/>
        <v>43</v>
      </c>
      <c r="Z134" s="75" t="str">
        <f t="shared" si="28"/>
        <v>431</v>
      </c>
      <c r="AB134" t="s">
        <v>1944</v>
      </c>
      <c r="AC134" t="s">
        <v>1945</v>
      </c>
      <c r="AD134" s="75" t="s">
        <v>5143</v>
      </c>
      <c r="AE134" s="75" t="s">
        <v>5144</v>
      </c>
      <c r="AF134" s="75" t="s">
        <v>5165</v>
      </c>
      <c r="AG134" s="75" t="s">
        <v>5175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30"/>
        <v/>
      </c>
      <c r="E135" s="85"/>
      <c r="F135" s="80" t="str">
        <f t="shared" si="31"/>
        <v/>
      </c>
      <c r="G135" s="118"/>
      <c r="H135" s="80" t="str">
        <f t="shared" si="32"/>
        <v/>
      </c>
      <c r="I135" s="80" t="str">
        <f t="shared" si="33"/>
        <v/>
      </c>
      <c r="J135" s="117"/>
      <c r="K135" s="117"/>
      <c r="L135" s="117"/>
      <c r="M135" s="84"/>
      <c r="O135" s="75" t="str">
        <f t="shared" si="34"/>
        <v/>
      </c>
      <c r="P135" s="75" t="str">
        <f t="shared" si="35"/>
        <v/>
      </c>
      <c r="Q135" s="75" t="str">
        <f t="shared" si="36"/>
        <v/>
      </c>
      <c r="R135" s="75" t="str">
        <f t="shared" si="24"/>
        <v/>
      </c>
      <c r="V135" s="75">
        <v>4411</v>
      </c>
      <c r="W135" s="75" t="s">
        <v>166</v>
      </c>
      <c r="Y135" s="290" t="str">
        <f t="shared" si="29"/>
        <v>44</v>
      </c>
      <c r="Z135" s="75" t="str">
        <f t="shared" si="28"/>
        <v>441</v>
      </c>
      <c r="AB135" t="s">
        <v>1946</v>
      </c>
      <c r="AC135" t="s">
        <v>1947</v>
      </c>
      <c r="AD135" s="75" t="s">
        <v>5143</v>
      </c>
      <c r="AE135" s="75" t="s">
        <v>5144</v>
      </c>
      <c r="AF135" s="75" t="s">
        <v>5165</v>
      </c>
      <c r="AG135" s="75" t="s">
        <v>5175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30"/>
        <v/>
      </c>
      <c r="E136" s="85"/>
      <c r="F136" s="80" t="str">
        <f t="shared" si="31"/>
        <v/>
      </c>
      <c r="G136" s="118"/>
      <c r="H136" s="80" t="str">
        <f t="shared" si="32"/>
        <v/>
      </c>
      <c r="I136" s="80" t="str">
        <f t="shared" si="33"/>
        <v/>
      </c>
      <c r="J136" s="117"/>
      <c r="K136" s="117"/>
      <c r="L136" s="117"/>
      <c r="M136" s="84"/>
      <c r="O136" s="75" t="str">
        <f t="shared" si="34"/>
        <v/>
      </c>
      <c r="P136" s="75" t="str">
        <f t="shared" si="35"/>
        <v/>
      </c>
      <c r="Q136" s="75" t="str">
        <f t="shared" si="36"/>
        <v/>
      </c>
      <c r="R136" s="75" t="str">
        <f t="shared" si="24"/>
        <v/>
      </c>
      <c r="V136" s="75">
        <v>4511</v>
      </c>
      <c r="W136" s="75" t="s">
        <v>121</v>
      </c>
      <c r="Y136" s="290" t="str">
        <f t="shared" si="29"/>
        <v>45</v>
      </c>
      <c r="Z136" s="75" t="str">
        <f t="shared" si="28"/>
        <v>451</v>
      </c>
      <c r="AB136" t="s">
        <v>1648</v>
      </c>
      <c r="AC136" t="s">
        <v>1649</v>
      </c>
      <c r="AD136" s="75" t="s">
        <v>5143</v>
      </c>
      <c r="AE136" s="75" t="s">
        <v>5144</v>
      </c>
      <c r="AF136" s="75" t="s">
        <v>5165</v>
      </c>
      <c r="AG136" s="75" t="s">
        <v>5175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30"/>
        <v/>
      </c>
      <c r="E137" s="85"/>
      <c r="F137" s="80" t="str">
        <f t="shared" si="31"/>
        <v/>
      </c>
      <c r="G137" s="118"/>
      <c r="H137" s="80" t="str">
        <f t="shared" si="32"/>
        <v/>
      </c>
      <c r="I137" s="80" t="str">
        <f t="shared" si="33"/>
        <v/>
      </c>
      <c r="J137" s="117"/>
      <c r="K137" s="117"/>
      <c r="L137" s="117"/>
      <c r="M137" s="84"/>
      <c r="O137" s="75" t="str">
        <f t="shared" si="34"/>
        <v/>
      </c>
      <c r="P137" s="75" t="str">
        <f t="shared" si="35"/>
        <v/>
      </c>
      <c r="Q137" s="75" t="str">
        <f t="shared" si="36"/>
        <v/>
      </c>
      <c r="R137" s="75" t="str">
        <f t="shared" si="24"/>
        <v/>
      </c>
      <c r="V137" s="75">
        <v>4521</v>
      </c>
      <c r="W137" s="75" t="s">
        <v>140</v>
      </c>
      <c r="Y137" s="290" t="str">
        <f t="shared" si="29"/>
        <v>45</v>
      </c>
      <c r="Z137" s="75" t="str">
        <f t="shared" si="28"/>
        <v>452</v>
      </c>
      <c r="AB137" t="s">
        <v>1708</v>
      </c>
      <c r="AC137" t="s">
        <v>1948</v>
      </c>
      <c r="AD137" s="75" t="s">
        <v>5143</v>
      </c>
      <c r="AE137" s="75" t="s">
        <v>5144</v>
      </c>
      <c r="AF137" s="75" t="s">
        <v>5165</v>
      </c>
      <c r="AG137" s="75" t="s">
        <v>5175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30"/>
        <v/>
      </c>
      <c r="E138" s="85"/>
      <c r="F138" s="80" t="str">
        <f t="shared" si="31"/>
        <v/>
      </c>
      <c r="G138" s="118"/>
      <c r="H138" s="80" t="str">
        <f t="shared" si="32"/>
        <v/>
      </c>
      <c r="I138" s="80" t="str">
        <f t="shared" si="33"/>
        <v/>
      </c>
      <c r="J138" s="117"/>
      <c r="K138" s="117"/>
      <c r="L138" s="117"/>
      <c r="M138" s="84"/>
      <c r="O138" s="75" t="str">
        <f t="shared" si="34"/>
        <v/>
      </c>
      <c r="P138" s="75" t="str">
        <f t="shared" si="35"/>
        <v/>
      </c>
      <c r="Q138" s="75" t="str">
        <f t="shared" si="36"/>
        <v/>
      </c>
      <c r="R138" s="75" t="str">
        <f t="shared" si="24"/>
        <v/>
      </c>
      <c r="V138" s="75">
        <v>4531</v>
      </c>
      <c r="W138" s="75" t="s">
        <v>183</v>
      </c>
      <c r="Y138" s="290" t="str">
        <f t="shared" si="29"/>
        <v>45</v>
      </c>
      <c r="Z138" s="75" t="str">
        <f t="shared" si="28"/>
        <v>453</v>
      </c>
      <c r="AB138" t="s">
        <v>1949</v>
      </c>
      <c r="AC138" t="s">
        <v>1950</v>
      </c>
      <c r="AD138" s="75" t="s">
        <v>5143</v>
      </c>
      <c r="AE138" s="75" t="s">
        <v>5144</v>
      </c>
      <c r="AF138" s="75" t="s">
        <v>5165</v>
      </c>
      <c r="AG138" s="75" t="s">
        <v>5175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30"/>
        <v/>
      </c>
      <c r="E139" s="85"/>
      <c r="F139" s="80" t="str">
        <f t="shared" si="31"/>
        <v/>
      </c>
      <c r="G139" s="118"/>
      <c r="H139" s="80" t="str">
        <f t="shared" si="32"/>
        <v/>
      </c>
      <c r="I139" s="80" t="str">
        <f t="shared" si="33"/>
        <v/>
      </c>
      <c r="J139" s="117"/>
      <c r="K139" s="117"/>
      <c r="L139" s="117"/>
      <c r="M139" s="84"/>
      <c r="O139" s="75" t="str">
        <f t="shared" si="34"/>
        <v/>
      </c>
      <c r="P139" s="75" t="str">
        <f t="shared" si="35"/>
        <v/>
      </c>
      <c r="Q139" s="75" t="str">
        <f t="shared" si="36"/>
        <v/>
      </c>
      <c r="R139" s="75" t="str">
        <f t="shared" si="24"/>
        <v/>
      </c>
      <c r="V139" s="75">
        <v>4541</v>
      </c>
      <c r="W139" s="75" t="s">
        <v>135</v>
      </c>
      <c r="Y139" s="290" t="str">
        <f t="shared" si="29"/>
        <v>45</v>
      </c>
      <c r="Z139" s="75" t="str">
        <f t="shared" si="28"/>
        <v>454</v>
      </c>
      <c r="AB139" t="s">
        <v>3465</v>
      </c>
      <c r="AC139" t="s">
        <v>3466</v>
      </c>
      <c r="AD139" s="75" t="s">
        <v>5141</v>
      </c>
      <c r="AE139" s="75" t="s">
        <v>5142</v>
      </c>
      <c r="AF139" s="75" t="s">
        <v>5167</v>
      </c>
      <c r="AG139" s="75" t="s">
        <v>5168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30"/>
        <v/>
      </c>
      <c r="E140" s="85"/>
      <c r="F140" s="80" t="str">
        <f t="shared" si="31"/>
        <v/>
      </c>
      <c r="G140" s="118"/>
      <c r="H140" s="80" t="str">
        <f t="shared" si="32"/>
        <v/>
      </c>
      <c r="I140" s="80" t="str">
        <f t="shared" si="33"/>
        <v/>
      </c>
      <c r="J140" s="117"/>
      <c r="K140" s="117"/>
      <c r="L140" s="117"/>
      <c r="M140" s="84"/>
      <c r="O140" s="75" t="str">
        <f t="shared" si="34"/>
        <v/>
      </c>
      <c r="P140" s="75" t="str">
        <f t="shared" si="35"/>
        <v/>
      </c>
      <c r="Q140" s="75" t="str">
        <f t="shared" si="36"/>
        <v/>
      </c>
      <c r="R140" s="75" t="str">
        <f t="shared" si="24"/>
        <v/>
      </c>
      <c r="V140" s="75">
        <v>5121</v>
      </c>
      <c r="W140" s="75" t="s">
        <v>191</v>
      </c>
      <c r="Y140" s="290" t="str">
        <f t="shared" si="29"/>
        <v>51</v>
      </c>
      <c r="Z140" s="75" t="str">
        <f t="shared" si="28"/>
        <v>512</v>
      </c>
      <c r="AB140" t="s">
        <v>1951</v>
      </c>
      <c r="AC140" t="s">
        <v>1952</v>
      </c>
      <c r="AD140" s="75" t="s">
        <v>5139</v>
      </c>
      <c r="AE140" s="75" t="s">
        <v>5140</v>
      </c>
      <c r="AF140" s="75" t="s">
        <v>5165</v>
      </c>
      <c r="AG140" s="75" t="s">
        <v>5172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30"/>
        <v/>
      </c>
      <c r="E141" s="85"/>
      <c r="F141" s="80" t="str">
        <f t="shared" si="31"/>
        <v/>
      </c>
      <c r="G141" s="118"/>
      <c r="H141" s="80" t="str">
        <f t="shared" si="32"/>
        <v/>
      </c>
      <c r="I141" s="80" t="str">
        <f t="shared" si="33"/>
        <v/>
      </c>
      <c r="J141" s="117"/>
      <c r="K141" s="117"/>
      <c r="L141" s="117"/>
      <c r="M141" s="84"/>
      <c r="O141" s="75" t="str">
        <f t="shared" si="34"/>
        <v/>
      </c>
      <c r="P141" s="75" t="str">
        <f t="shared" si="35"/>
        <v/>
      </c>
      <c r="Q141" s="75" t="str">
        <f t="shared" si="36"/>
        <v/>
      </c>
      <c r="R141" s="75" t="str">
        <f t="shared" si="24"/>
        <v/>
      </c>
      <c r="V141" s="75">
        <v>5443</v>
      </c>
      <c r="W141" s="75" t="s">
        <v>167</v>
      </c>
      <c r="Y141" s="290" t="str">
        <f t="shared" si="29"/>
        <v>54</v>
      </c>
      <c r="Z141" s="75" t="str">
        <f t="shared" si="28"/>
        <v>544</v>
      </c>
      <c r="AB141" t="s">
        <v>1650</v>
      </c>
      <c r="AC141" t="s">
        <v>1651</v>
      </c>
      <c r="AD141" s="75" t="s">
        <v>5143</v>
      </c>
      <c r="AE141" s="75" t="s">
        <v>5144</v>
      </c>
      <c r="AF141" s="75" t="s">
        <v>5165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30"/>
        <v/>
      </c>
      <c r="E142" s="85"/>
      <c r="F142" s="80" t="str">
        <f t="shared" si="31"/>
        <v/>
      </c>
      <c r="G142" s="118"/>
      <c r="H142" s="80" t="str">
        <f t="shared" si="32"/>
        <v/>
      </c>
      <c r="I142" s="80" t="str">
        <f t="shared" si="33"/>
        <v/>
      </c>
      <c r="J142" s="117"/>
      <c r="K142" s="117"/>
      <c r="L142" s="117"/>
      <c r="M142" s="84"/>
      <c r="O142" s="75" t="str">
        <f t="shared" si="34"/>
        <v/>
      </c>
      <c r="P142" s="75" t="str">
        <f t="shared" si="35"/>
        <v/>
      </c>
      <c r="Q142" s="75" t="str">
        <f t="shared" si="36"/>
        <v/>
      </c>
      <c r="R142" s="75" t="str">
        <f t="shared" si="24"/>
        <v/>
      </c>
      <c r="V142" s="75">
        <v>5121</v>
      </c>
      <c r="W142" s="75" t="s">
        <v>639</v>
      </c>
      <c r="Y142" s="290" t="str">
        <f t="shared" si="29"/>
        <v>51</v>
      </c>
      <c r="Z142" s="75" t="str">
        <f t="shared" ref="Z142:Z152" si="37">LEFT(V142,3)</f>
        <v>512</v>
      </c>
      <c r="AB142" t="s">
        <v>1953</v>
      </c>
      <c r="AC142" t="s">
        <v>1954</v>
      </c>
      <c r="AD142" s="75" t="s">
        <v>5143</v>
      </c>
      <c r="AE142" s="75" t="s">
        <v>5144</v>
      </c>
      <c r="AF142" s="75" t="s">
        <v>5165</v>
      </c>
      <c r="AG142" s="75" t="s">
        <v>5175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30"/>
        <v/>
      </c>
      <c r="E143" s="85"/>
      <c r="F143" s="80" t="str">
        <f t="shared" si="31"/>
        <v/>
      </c>
      <c r="G143" s="118"/>
      <c r="H143" s="80" t="str">
        <f t="shared" si="32"/>
        <v/>
      </c>
      <c r="I143" s="80" t="str">
        <f t="shared" si="33"/>
        <v/>
      </c>
      <c r="J143" s="117"/>
      <c r="K143" s="117"/>
      <c r="L143" s="117"/>
      <c r="M143" s="84"/>
      <c r="O143" s="75" t="str">
        <f t="shared" si="34"/>
        <v/>
      </c>
      <c r="P143" s="75" t="str">
        <f t="shared" si="35"/>
        <v/>
      </c>
      <c r="Q143" s="75" t="str">
        <f t="shared" si="36"/>
        <v/>
      </c>
      <c r="R143" s="75" t="str">
        <f t="shared" si="24"/>
        <v/>
      </c>
      <c r="V143" s="75">
        <v>5122</v>
      </c>
      <c r="W143" s="75" t="s">
        <v>640</v>
      </c>
      <c r="Y143" s="290" t="str">
        <f t="shared" si="29"/>
        <v>51</v>
      </c>
      <c r="Z143" s="75" t="str">
        <f t="shared" si="37"/>
        <v>512</v>
      </c>
      <c r="AB143" t="s">
        <v>1955</v>
      </c>
      <c r="AC143" t="s">
        <v>1956</v>
      </c>
      <c r="AD143" s="75" t="s">
        <v>5141</v>
      </c>
      <c r="AE143" s="75" t="s">
        <v>5142</v>
      </c>
      <c r="AF143" s="75" t="s">
        <v>5167</v>
      </c>
      <c r="AG143" s="75" t="s">
        <v>5168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30"/>
        <v/>
      </c>
      <c r="E144" s="85"/>
      <c r="F144" s="80" t="str">
        <f t="shared" si="31"/>
        <v/>
      </c>
      <c r="G144" s="118"/>
      <c r="H144" s="80" t="str">
        <f t="shared" si="32"/>
        <v/>
      </c>
      <c r="I144" s="80" t="str">
        <f t="shared" si="33"/>
        <v/>
      </c>
      <c r="J144" s="117"/>
      <c r="K144" s="117"/>
      <c r="L144" s="117"/>
      <c r="M144" s="84"/>
      <c r="O144" s="75" t="str">
        <f t="shared" si="34"/>
        <v/>
      </c>
      <c r="P144" s="75" t="str">
        <f t="shared" si="35"/>
        <v/>
      </c>
      <c r="Q144" s="75" t="str">
        <f t="shared" si="36"/>
        <v/>
      </c>
      <c r="R144" s="75" t="str">
        <f t="shared" si="24"/>
        <v/>
      </c>
      <c r="V144" s="75">
        <v>5141</v>
      </c>
      <c r="W144" s="75" t="s">
        <v>641</v>
      </c>
      <c r="Y144" s="290" t="str">
        <f t="shared" si="29"/>
        <v>51</v>
      </c>
      <c r="Z144" s="75" t="str">
        <f t="shared" si="37"/>
        <v>514</v>
      </c>
      <c r="AB144" t="s">
        <v>1973</v>
      </c>
      <c r="AC144" t="s">
        <v>1974</v>
      </c>
      <c r="AD144" s="75" t="s">
        <v>5139</v>
      </c>
      <c r="AE144" s="75" t="s">
        <v>5140</v>
      </c>
      <c r="AF144" s="75" t="s">
        <v>5165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30"/>
        <v/>
      </c>
      <c r="E145" s="85"/>
      <c r="F145" s="80" t="str">
        <f t="shared" si="31"/>
        <v/>
      </c>
      <c r="G145" s="118"/>
      <c r="H145" s="80" t="str">
        <f t="shared" si="32"/>
        <v/>
      </c>
      <c r="I145" s="80" t="str">
        <f t="shared" si="33"/>
        <v/>
      </c>
      <c r="J145" s="117"/>
      <c r="K145" s="117"/>
      <c r="L145" s="117"/>
      <c r="M145" s="84"/>
      <c r="O145" s="75" t="str">
        <f t="shared" si="34"/>
        <v/>
      </c>
      <c r="P145" s="75" t="str">
        <f t="shared" si="35"/>
        <v/>
      </c>
      <c r="Q145" s="75" t="str">
        <f t="shared" si="36"/>
        <v/>
      </c>
      <c r="R145" s="75" t="str">
        <f t="shared" ref="R145:R208" si="38">MID(I145,2,2)</f>
        <v/>
      </c>
      <c r="V145" s="75">
        <v>5181</v>
      </c>
      <c r="W145" s="75" t="s">
        <v>642</v>
      </c>
      <c r="Y145" s="290" t="str">
        <f t="shared" si="29"/>
        <v>51</v>
      </c>
      <c r="Z145" s="75" t="str">
        <f t="shared" si="37"/>
        <v>518</v>
      </c>
      <c r="AB145" t="s">
        <v>1975</v>
      </c>
      <c r="AC145" t="s">
        <v>1976</v>
      </c>
      <c r="AD145" s="75" t="s">
        <v>5155</v>
      </c>
      <c r="AE145" s="75" t="s">
        <v>5156</v>
      </c>
      <c r="AF145" s="75" t="s">
        <v>5165</v>
      </c>
      <c r="AG145" s="75" t="s">
        <v>5176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30"/>
        <v/>
      </c>
      <c r="E146" s="85"/>
      <c r="F146" s="80" t="str">
        <f t="shared" si="31"/>
        <v/>
      </c>
      <c r="G146" s="118"/>
      <c r="H146" s="80" t="str">
        <f t="shared" si="32"/>
        <v/>
      </c>
      <c r="I146" s="80" t="str">
        <f t="shared" si="33"/>
        <v/>
      </c>
      <c r="J146" s="117"/>
      <c r="K146" s="117"/>
      <c r="L146" s="117"/>
      <c r="M146" s="84"/>
      <c r="O146" s="75" t="str">
        <f t="shared" si="34"/>
        <v/>
      </c>
      <c r="P146" s="75" t="str">
        <f t="shared" si="35"/>
        <v/>
      </c>
      <c r="Q146" s="75" t="str">
        <f t="shared" si="36"/>
        <v/>
      </c>
      <c r="R146" s="75" t="str">
        <f t="shared" si="38"/>
        <v/>
      </c>
      <c r="V146" s="75">
        <v>5183</v>
      </c>
      <c r="W146" s="75" t="s">
        <v>643</v>
      </c>
      <c r="Y146" s="290" t="str">
        <f t="shared" si="29"/>
        <v>51</v>
      </c>
      <c r="Z146" s="75" t="str">
        <f t="shared" si="37"/>
        <v>518</v>
      </c>
      <c r="AB146" t="s">
        <v>1977</v>
      </c>
      <c r="AC146" t="s">
        <v>1978</v>
      </c>
      <c r="AD146" s="75" t="s">
        <v>5145</v>
      </c>
      <c r="AE146" s="75" t="s">
        <v>5146</v>
      </c>
      <c r="AF146" s="75" t="s">
        <v>5165</v>
      </c>
      <c r="AG146" s="75" t="s">
        <v>5174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30"/>
        <v/>
      </c>
      <c r="E147" s="85"/>
      <c r="F147" s="80" t="str">
        <f t="shared" si="31"/>
        <v/>
      </c>
      <c r="G147" s="118"/>
      <c r="H147" s="80" t="str">
        <f t="shared" si="32"/>
        <v/>
      </c>
      <c r="I147" s="80" t="str">
        <f t="shared" si="33"/>
        <v/>
      </c>
      <c r="J147" s="117"/>
      <c r="K147" s="117"/>
      <c r="L147" s="117"/>
      <c r="M147" s="84"/>
      <c r="O147" s="75" t="str">
        <f t="shared" si="34"/>
        <v/>
      </c>
      <c r="P147" s="75" t="str">
        <f t="shared" si="35"/>
        <v/>
      </c>
      <c r="Q147" s="75" t="str">
        <f t="shared" si="36"/>
        <v/>
      </c>
      <c r="R147" s="75" t="str">
        <f t="shared" si="38"/>
        <v/>
      </c>
      <c r="V147" s="75">
        <v>5422</v>
      </c>
      <c r="W147" s="75" t="s">
        <v>644</v>
      </c>
      <c r="Y147" s="290" t="str">
        <f t="shared" si="29"/>
        <v>54</v>
      </c>
      <c r="Z147" s="75" t="str">
        <f t="shared" si="37"/>
        <v>542</v>
      </c>
      <c r="AB147" t="s">
        <v>1979</v>
      </c>
      <c r="AC147" t="s">
        <v>1980</v>
      </c>
      <c r="AD147" s="75" t="s">
        <v>5151</v>
      </c>
      <c r="AE147" s="75" t="s">
        <v>5152</v>
      </c>
      <c r="AF147" s="75" t="s">
        <v>5165</v>
      </c>
      <c r="AG147" s="75" t="s">
        <v>5172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30"/>
        <v/>
      </c>
      <c r="E148" s="85"/>
      <c r="F148" s="80" t="str">
        <f t="shared" si="31"/>
        <v/>
      </c>
      <c r="G148" s="118"/>
      <c r="H148" s="80" t="str">
        <f t="shared" si="32"/>
        <v/>
      </c>
      <c r="I148" s="80" t="str">
        <f t="shared" si="33"/>
        <v/>
      </c>
      <c r="J148" s="117"/>
      <c r="K148" s="117"/>
      <c r="L148" s="117"/>
      <c r="M148" s="84"/>
      <c r="O148" s="75" t="str">
        <f t="shared" si="34"/>
        <v/>
      </c>
      <c r="P148" s="75" t="str">
        <f t="shared" si="35"/>
        <v/>
      </c>
      <c r="Q148" s="75" t="str">
        <f t="shared" si="36"/>
        <v/>
      </c>
      <c r="R148" s="75" t="str">
        <f t="shared" si="38"/>
        <v/>
      </c>
      <c r="V148" s="75">
        <v>5431</v>
      </c>
      <c r="W148" s="75" t="s">
        <v>264</v>
      </c>
      <c r="Y148" s="290" t="str">
        <f t="shared" si="29"/>
        <v>54</v>
      </c>
      <c r="Z148" s="75" t="str">
        <f t="shared" si="37"/>
        <v>543</v>
      </c>
      <c r="AB148" t="s">
        <v>963</v>
      </c>
      <c r="AC148" t="s">
        <v>1652</v>
      </c>
      <c r="AD148" s="75" t="s">
        <v>5141</v>
      </c>
      <c r="AE148" s="75" t="s">
        <v>5142</v>
      </c>
      <c r="AF148" s="75" t="s">
        <v>5167</v>
      </c>
      <c r="AG148" s="75" t="s">
        <v>5168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30"/>
        <v/>
      </c>
      <c r="E149" s="85"/>
      <c r="F149" s="80" t="str">
        <f t="shared" si="31"/>
        <v/>
      </c>
      <c r="G149" s="118"/>
      <c r="H149" s="80" t="str">
        <f t="shared" si="32"/>
        <v/>
      </c>
      <c r="I149" s="80" t="str">
        <f t="shared" si="33"/>
        <v/>
      </c>
      <c r="J149" s="117"/>
      <c r="K149" s="117"/>
      <c r="L149" s="117"/>
      <c r="M149" s="84"/>
      <c r="O149" s="75" t="str">
        <f t="shared" si="34"/>
        <v/>
      </c>
      <c r="P149" s="75" t="str">
        <f t="shared" si="35"/>
        <v/>
      </c>
      <c r="Q149" s="75" t="str">
        <f t="shared" si="36"/>
        <v/>
      </c>
      <c r="R149" s="75" t="str">
        <f t="shared" si="38"/>
        <v/>
      </c>
      <c r="V149" s="75">
        <v>5443</v>
      </c>
      <c r="W149" s="75" t="s">
        <v>645</v>
      </c>
      <c r="Y149" s="290" t="str">
        <f t="shared" si="29"/>
        <v>54</v>
      </c>
      <c r="Z149" s="75" t="str">
        <f t="shared" si="37"/>
        <v>544</v>
      </c>
      <c r="AB149" t="s">
        <v>1981</v>
      </c>
      <c r="AC149" t="s">
        <v>3467</v>
      </c>
      <c r="AD149" s="75" t="s">
        <v>5143</v>
      </c>
      <c r="AE149" s="75" t="s">
        <v>5144</v>
      </c>
      <c r="AF149" s="75" t="s">
        <v>5165</v>
      </c>
      <c r="AG149" s="75" t="s">
        <v>5175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30"/>
        <v/>
      </c>
      <c r="E150" s="85"/>
      <c r="F150" s="80" t="str">
        <f t="shared" si="31"/>
        <v/>
      </c>
      <c r="G150" s="118"/>
      <c r="H150" s="80" t="str">
        <f t="shared" si="32"/>
        <v/>
      </c>
      <c r="I150" s="80" t="str">
        <f t="shared" si="33"/>
        <v/>
      </c>
      <c r="J150" s="117"/>
      <c r="K150" s="117"/>
      <c r="L150" s="117"/>
      <c r="M150" s="84"/>
      <c r="O150" s="75" t="str">
        <f t="shared" si="34"/>
        <v/>
      </c>
      <c r="P150" s="75" t="str">
        <f t="shared" si="35"/>
        <v/>
      </c>
      <c r="Q150" s="75" t="str">
        <f t="shared" si="36"/>
        <v/>
      </c>
      <c r="R150" s="75" t="str">
        <f t="shared" si="38"/>
        <v/>
      </c>
      <c r="V150" s="75">
        <v>5445</v>
      </c>
      <c r="W150" s="75" t="s">
        <v>646</v>
      </c>
      <c r="Y150" s="290" t="str">
        <f t="shared" si="29"/>
        <v>54</v>
      </c>
      <c r="Z150" s="75" t="str">
        <f t="shared" si="37"/>
        <v>544</v>
      </c>
      <c r="AB150" t="s">
        <v>1982</v>
      </c>
      <c r="AC150" t="s">
        <v>1983</v>
      </c>
      <c r="AD150" s="75" t="s">
        <v>5139</v>
      </c>
      <c r="AE150" s="75" t="s">
        <v>5140</v>
      </c>
      <c r="AF150" s="75" t="s">
        <v>5165</v>
      </c>
      <c r="AG150" s="75" t="s">
        <v>5172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30"/>
        <v/>
      </c>
      <c r="E151" s="85"/>
      <c r="F151" s="80" t="str">
        <f t="shared" si="31"/>
        <v/>
      </c>
      <c r="G151" s="118"/>
      <c r="H151" s="80" t="str">
        <f t="shared" si="32"/>
        <v/>
      </c>
      <c r="I151" s="80" t="str">
        <f t="shared" si="33"/>
        <v/>
      </c>
      <c r="J151" s="117"/>
      <c r="K151" s="117"/>
      <c r="L151" s="117"/>
      <c r="M151" s="84"/>
      <c r="O151" s="75" t="str">
        <f t="shared" si="34"/>
        <v/>
      </c>
      <c r="P151" s="75" t="str">
        <f t="shared" si="35"/>
        <v/>
      </c>
      <c r="Q151" s="75" t="str">
        <f t="shared" si="36"/>
        <v/>
      </c>
      <c r="R151" s="75" t="str">
        <f t="shared" si="38"/>
        <v/>
      </c>
      <c r="V151" s="75">
        <v>5453</v>
      </c>
      <c r="W151" s="75" t="s">
        <v>647</v>
      </c>
      <c r="Y151" s="290" t="str">
        <f t="shared" si="29"/>
        <v>54</v>
      </c>
      <c r="Z151" s="75" t="str">
        <f t="shared" si="37"/>
        <v>545</v>
      </c>
      <c r="AB151" t="s">
        <v>1984</v>
      </c>
      <c r="AC151" t="s">
        <v>3468</v>
      </c>
      <c r="AD151" s="75" t="s">
        <v>5155</v>
      </c>
      <c r="AE151" s="75" t="s">
        <v>5156</v>
      </c>
      <c r="AF151" s="75" t="s">
        <v>5165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30"/>
        <v/>
      </c>
      <c r="E152" s="85"/>
      <c r="F152" s="80" t="str">
        <f t="shared" si="31"/>
        <v/>
      </c>
      <c r="G152" s="118"/>
      <c r="H152" s="80" t="str">
        <f t="shared" si="32"/>
        <v/>
      </c>
      <c r="I152" s="80" t="str">
        <f t="shared" si="33"/>
        <v/>
      </c>
      <c r="J152" s="117"/>
      <c r="K152" s="117"/>
      <c r="L152" s="117"/>
      <c r="M152" s="84"/>
      <c r="O152" s="75" t="str">
        <f t="shared" si="34"/>
        <v/>
      </c>
      <c r="P152" s="75" t="str">
        <f t="shared" si="35"/>
        <v/>
      </c>
      <c r="Q152" s="75" t="str">
        <f t="shared" si="36"/>
        <v/>
      </c>
      <c r="R152" s="75" t="str">
        <f t="shared" si="38"/>
        <v/>
      </c>
      <c r="V152" s="75">
        <v>5472</v>
      </c>
      <c r="W152" s="75" t="s">
        <v>648</v>
      </c>
      <c r="Y152" s="290" t="str">
        <f t="shared" si="29"/>
        <v>54</v>
      </c>
      <c r="Z152" s="75" t="str">
        <f t="shared" si="37"/>
        <v>547</v>
      </c>
      <c r="AB152" t="s">
        <v>3469</v>
      </c>
      <c r="AC152" t="s">
        <v>3470</v>
      </c>
      <c r="AD152" s="75" t="s">
        <v>5141</v>
      </c>
      <c r="AE152" s="75" t="s">
        <v>5142</v>
      </c>
      <c r="AF152" s="75" t="s">
        <v>5167</v>
      </c>
      <c r="AG152" s="75" t="s">
        <v>5168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30"/>
        <v/>
      </c>
      <c r="E153" s="85"/>
      <c r="F153" s="80" t="str">
        <f t="shared" si="31"/>
        <v/>
      </c>
      <c r="G153" s="118"/>
      <c r="H153" s="80" t="str">
        <f t="shared" si="32"/>
        <v/>
      </c>
      <c r="I153" s="80" t="str">
        <f t="shared" si="33"/>
        <v/>
      </c>
      <c r="J153" s="117"/>
      <c r="K153" s="117"/>
      <c r="L153" s="117"/>
      <c r="M153" s="84"/>
      <c r="O153" s="75" t="str">
        <f t="shared" si="34"/>
        <v/>
      </c>
      <c r="P153" s="75" t="str">
        <f t="shared" si="35"/>
        <v/>
      </c>
      <c r="Q153" s="75" t="str">
        <f t="shared" si="36"/>
        <v/>
      </c>
      <c r="R153" s="75" t="str">
        <f t="shared" si="38"/>
        <v/>
      </c>
      <c r="AB153" t="s">
        <v>1985</v>
      </c>
      <c r="AC153" t="s">
        <v>1986</v>
      </c>
      <c r="AD153" s="75" t="s">
        <v>5143</v>
      </c>
      <c r="AE153" s="75" t="s">
        <v>5144</v>
      </c>
      <c r="AF153" s="75" t="s">
        <v>5165</v>
      </c>
      <c r="AG153" s="75" t="s">
        <v>5175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30"/>
        <v/>
      </c>
      <c r="E154" s="85"/>
      <c r="F154" s="80" t="str">
        <f t="shared" si="31"/>
        <v/>
      </c>
      <c r="G154" s="118"/>
      <c r="H154" s="80" t="str">
        <f t="shared" si="32"/>
        <v/>
      </c>
      <c r="I154" s="80" t="str">
        <f t="shared" si="33"/>
        <v/>
      </c>
      <c r="J154" s="117"/>
      <c r="K154" s="117"/>
      <c r="L154" s="117"/>
      <c r="M154" s="84"/>
      <c r="O154" s="75" t="str">
        <f t="shared" si="34"/>
        <v/>
      </c>
      <c r="P154" s="75" t="str">
        <f t="shared" si="35"/>
        <v/>
      </c>
      <c r="Q154" s="75" t="str">
        <f t="shared" si="36"/>
        <v/>
      </c>
      <c r="R154" s="75" t="str">
        <f t="shared" si="38"/>
        <v/>
      </c>
      <c r="AB154" t="s">
        <v>1987</v>
      </c>
      <c r="AC154" t="s">
        <v>1988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30"/>
        <v/>
      </c>
      <c r="E155" s="85"/>
      <c r="F155" s="80" t="str">
        <f t="shared" si="31"/>
        <v/>
      </c>
      <c r="G155" s="118"/>
      <c r="H155" s="80" t="str">
        <f t="shared" si="32"/>
        <v/>
      </c>
      <c r="I155" s="80" t="str">
        <f t="shared" si="33"/>
        <v/>
      </c>
      <c r="J155" s="117"/>
      <c r="K155" s="117"/>
      <c r="L155" s="117"/>
      <c r="M155" s="84"/>
      <c r="O155" s="75" t="str">
        <f t="shared" si="34"/>
        <v/>
      </c>
      <c r="P155" s="75" t="str">
        <f t="shared" si="35"/>
        <v/>
      </c>
      <c r="Q155" s="75" t="str">
        <f t="shared" si="36"/>
        <v/>
      </c>
      <c r="R155" s="75" t="str">
        <f t="shared" si="38"/>
        <v/>
      </c>
      <c r="AB155" t="s">
        <v>1989</v>
      </c>
      <c r="AC155" t="s">
        <v>1990</v>
      </c>
      <c r="AD155" s="75" t="s">
        <v>5141</v>
      </c>
      <c r="AE155" s="75" t="s">
        <v>5142</v>
      </c>
      <c r="AF155" s="75" t="s">
        <v>5167</v>
      </c>
      <c r="AG155" s="75" t="s">
        <v>5168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30"/>
        <v/>
      </c>
      <c r="E156" s="85"/>
      <c r="F156" s="80" t="str">
        <f t="shared" si="31"/>
        <v/>
      </c>
      <c r="G156" s="118"/>
      <c r="H156" s="80" t="str">
        <f t="shared" si="32"/>
        <v/>
      </c>
      <c r="I156" s="80" t="str">
        <f t="shared" si="33"/>
        <v/>
      </c>
      <c r="J156" s="117"/>
      <c r="K156" s="117"/>
      <c r="L156" s="117"/>
      <c r="M156" s="84"/>
      <c r="O156" s="75" t="str">
        <f t="shared" si="34"/>
        <v/>
      </c>
      <c r="P156" s="75" t="str">
        <f t="shared" si="35"/>
        <v/>
      </c>
      <c r="Q156" s="75" t="str">
        <f t="shared" si="36"/>
        <v/>
      </c>
      <c r="R156" s="75" t="str">
        <f t="shared" si="38"/>
        <v/>
      </c>
      <c r="AB156" t="s">
        <v>3471</v>
      </c>
      <c r="AC156" t="s">
        <v>3472</v>
      </c>
      <c r="AD156" s="75" t="s">
        <v>5155</v>
      </c>
      <c r="AE156" s="75" t="s">
        <v>5156</v>
      </c>
      <c r="AF156" s="75" t="s">
        <v>5165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30"/>
        <v/>
      </c>
      <c r="E157" s="85"/>
      <c r="F157" s="80" t="str">
        <f t="shared" si="31"/>
        <v/>
      </c>
      <c r="G157" s="118"/>
      <c r="H157" s="80" t="str">
        <f t="shared" si="32"/>
        <v/>
      </c>
      <c r="I157" s="80" t="str">
        <f t="shared" si="33"/>
        <v/>
      </c>
      <c r="J157" s="117"/>
      <c r="K157" s="117"/>
      <c r="L157" s="117"/>
      <c r="M157" s="84"/>
      <c r="O157" s="75" t="str">
        <f t="shared" si="34"/>
        <v/>
      </c>
      <c r="P157" s="75" t="str">
        <f t="shared" si="35"/>
        <v/>
      </c>
      <c r="Q157" s="75" t="str">
        <f t="shared" si="36"/>
        <v/>
      </c>
      <c r="R157" s="75" t="str">
        <f t="shared" si="38"/>
        <v/>
      </c>
      <c r="AB157" t="s">
        <v>1994</v>
      </c>
      <c r="AC157" t="s">
        <v>1995</v>
      </c>
      <c r="AD157" s="75" t="s">
        <v>5155</v>
      </c>
      <c r="AE157" s="75" t="s">
        <v>5156</v>
      </c>
      <c r="AF157" s="75" t="s">
        <v>5165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30"/>
        <v/>
      </c>
      <c r="E158" s="85"/>
      <c r="F158" s="80" t="str">
        <f t="shared" si="31"/>
        <v/>
      </c>
      <c r="G158" s="118"/>
      <c r="H158" s="80" t="str">
        <f t="shared" si="32"/>
        <v/>
      </c>
      <c r="I158" s="80" t="str">
        <f t="shared" si="33"/>
        <v/>
      </c>
      <c r="J158" s="117"/>
      <c r="K158" s="117"/>
      <c r="L158" s="117"/>
      <c r="M158" s="84"/>
      <c r="O158" s="75" t="str">
        <f t="shared" si="34"/>
        <v/>
      </c>
      <c r="P158" s="75" t="str">
        <f t="shared" si="35"/>
        <v/>
      </c>
      <c r="Q158" s="75" t="str">
        <f t="shared" si="36"/>
        <v/>
      </c>
      <c r="R158" s="75" t="str">
        <f t="shared" si="38"/>
        <v/>
      </c>
      <c r="AB158" t="s">
        <v>1994</v>
      </c>
      <c r="AC158" t="s">
        <v>1995</v>
      </c>
      <c r="AD158" s="75" t="s">
        <v>5143</v>
      </c>
      <c r="AE158" s="75" t="s">
        <v>5144</v>
      </c>
      <c r="AF158" s="75" t="s">
        <v>5165</v>
      </c>
      <c r="AG158" s="75" t="s">
        <v>5175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30"/>
        <v/>
      </c>
      <c r="E159" s="85"/>
      <c r="F159" s="80" t="str">
        <f t="shared" si="31"/>
        <v/>
      </c>
      <c r="G159" s="118"/>
      <c r="H159" s="80" t="str">
        <f t="shared" si="32"/>
        <v/>
      </c>
      <c r="I159" s="80" t="str">
        <f t="shared" si="33"/>
        <v/>
      </c>
      <c r="J159" s="117"/>
      <c r="K159" s="117"/>
      <c r="L159" s="117"/>
      <c r="M159" s="84"/>
      <c r="O159" s="75" t="str">
        <f t="shared" si="34"/>
        <v/>
      </c>
      <c r="P159" s="75" t="str">
        <f t="shared" si="35"/>
        <v/>
      </c>
      <c r="Q159" s="75" t="str">
        <f t="shared" si="36"/>
        <v/>
      </c>
      <c r="R159" s="75" t="str">
        <f t="shared" si="38"/>
        <v/>
      </c>
      <c r="AB159" t="s">
        <v>1996</v>
      </c>
      <c r="AC159" t="s">
        <v>3473</v>
      </c>
      <c r="AD159" s="75" t="s">
        <v>5143</v>
      </c>
      <c r="AE159" s="75" t="s">
        <v>5144</v>
      </c>
      <c r="AF159" s="75" t="s">
        <v>5165</v>
      </c>
      <c r="AG159" s="75" t="s">
        <v>5175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30"/>
        <v/>
      </c>
      <c r="E160" s="85"/>
      <c r="F160" s="80" t="str">
        <f t="shared" si="31"/>
        <v/>
      </c>
      <c r="G160" s="118"/>
      <c r="H160" s="80" t="str">
        <f t="shared" si="32"/>
        <v/>
      </c>
      <c r="I160" s="80" t="str">
        <f t="shared" si="33"/>
        <v/>
      </c>
      <c r="J160" s="117"/>
      <c r="K160" s="117"/>
      <c r="L160" s="117"/>
      <c r="M160" s="84"/>
      <c r="O160" s="75" t="str">
        <f t="shared" si="34"/>
        <v/>
      </c>
      <c r="P160" s="75" t="str">
        <f t="shared" si="35"/>
        <v/>
      </c>
      <c r="Q160" s="75" t="str">
        <f t="shared" si="36"/>
        <v/>
      </c>
      <c r="R160" s="75" t="str">
        <f t="shared" si="38"/>
        <v/>
      </c>
      <c r="AB160" t="s">
        <v>1997</v>
      </c>
      <c r="AC160" t="s">
        <v>3474</v>
      </c>
      <c r="AD160" s="75" t="s">
        <v>5151</v>
      </c>
      <c r="AE160" s="75" t="s">
        <v>5152</v>
      </c>
      <c r="AF160" s="75" t="s">
        <v>5165</v>
      </c>
      <c r="AG160" s="75" t="s">
        <v>5172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30"/>
        <v/>
      </c>
      <c r="E161" s="85"/>
      <c r="F161" s="80" t="str">
        <f t="shared" si="31"/>
        <v/>
      </c>
      <c r="G161" s="118"/>
      <c r="H161" s="80" t="str">
        <f t="shared" si="32"/>
        <v/>
      </c>
      <c r="I161" s="80" t="str">
        <f t="shared" si="33"/>
        <v/>
      </c>
      <c r="J161" s="117"/>
      <c r="K161" s="117"/>
      <c r="L161" s="117"/>
      <c r="M161" s="84"/>
      <c r="O161" s="75" t="str">
        <f t="shared" si="34"/>
        <v/>
      </c>
      <c r="P161" s="75" t="str">
        <f t="shared" si="35"/>
        <v/>
      </c>
      <c r="Q161" s="75" t="str">
        <f t="shared" si="36"/>
        <v/>
      </c>
      <c r="R161" s="75" t="str">
        <f t="shared" si="38"/>
        <v/>
      </c>
      <c r="AB161" t="s">
        <v>3475</v>
      </c>
      <c r="AC161" t="s">
        <v>3476</v>
      </c>
      <c r="AD161" s="75" t="s">
        <v>5141</v>
      </c>
      <c r="AE161" s="75" t="s">
        <v>5142</v>
      </c>
      <c r="AF161" s="75" t="s">
        <v>5167</v>
      </c>
      <c r="AG161" s="75" t="s">
        <v>5168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30"/>
        <v/>
      </c>
      <c r="E162" s="85"/>
      <c r="F162" s="80" t="str">
        <f t="shared" si="31"/>
        <v/>
      </c>
      <c r="G162" s="118"/>
      <c r="H162" s="80" t="str">
        <f t="shared" si="32"/>
        <v/>
      </c>
      <c r="I162" s="80" t="str">
        <f t="shared" si="33"/>
        <v/>
      </c>
      <c r="J162" s="117"/>
      <c r="K162" s="117"/>
      <c r="L162" s="117"/>
      <c r="M162" s="84"/>
      <c r="O162" s="75" t="str">
        <f t="shared" si="34"/>
        <v/>
      </c>
      <c r="P162" s="75" t="str">
        <f t="shared" si="35"/>
        <v/>
      </c>
      <c r="Q162" s="75" t="str">
        <f t="shared" si="36"/>
        <v/>
      </c>
      <c r="R162" s="75" t="str">
        <f t="shared" si="38"/>
        <v/>
      </c>
      <c r="AB162" t="s">
        <v>2000</v>
      </c>
      <c r="AC162" t="s">
        <v>2001</v>
      </c>
      <c r="AD162" s="75" t="s">
        <v>5139</v>
      </c>
      <c r="AE162" s="75" t="s">
        <v>5140</v>
      </c>
      <c r="AF162" s="75" t="s">
        <v>5165</v>
      </c>
      <c r="AG162" s="75" t="s">
        <v>5172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30"/>
        <v/>
      </c>
      <c r="E163" s="85"/>
      <c r="F163" s="80" t="str">
        <f t="shared" si="31"/>
        <v/>
      </c>
      <c r="G163" s="118"/>
      <c r="H163" s="80" t="str">
        <f t="shared" si="32"/>
        <v/>
      </c>
      <c r="I163" s="80" t="str">
        <f t="shared" si="33"/>
        <v/>
      </c>
      <c r="J163" s="117"/>
      <c r="K163" s="117"/>
      <c r="L163" s="117"/>
      <c r="M163" s="84"/>
      <c r="O163" s="75" t="str">
        <f t="shared" si="34"/>
        <v/>
      </c>
      <c r="P163" s="75" t="str">
        <f t="shared" si="35"/>
        <v/>
      </c>
      <c r="Q163" s="75" t="str">
        <f t="shared" si="36"/>
        <v/>
      </c>
      <c r="R163" s="75" t="str">
        <f t="shared" si="38"/>
        <v/>
      </c>
      <c r="AB163" t="s">
        <v>2002</v>
      </c>
      <c r="AC163" t="s">
        <v>2003</v>
      </c>
      <c r="AD163" s="75" t="s">
        <v>5159</v>
      </c>
      <c r="AE163" s="75" t="s">
        <v>5160</v>
      </c>
      <c r="AF163" s="75" t="s">
        <v>5165</v>
      </c>
      <c r="AG163" s="75" t="s">
        <v>5177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30"/>
        <v/>
      </c>
      <c r="E164" s="85"/>
      <c r="F164" s="80" t="str">
        <f t="shared" si="31"/>
        <v/>
      </c>
      <c r="G164" s="118"/>
      <c r="H164" s="80" t="str">
        <f t="shared" si="32"/>
        <v/>
      </c>
      <c r="I164" s="80" t="str">
        <f t="shared" si="33"/>
        <v/>
      </c>
      <c r="J164" s="117"/>
      <c r="K164" s="117"/>
      <c r="L164" s="117"/>
      <c r="M164" s="84"/>
      <c r="O164" s="75" t="str">
        <f t="shared" si="34"/>
        <v/>
      </c>
      <c r="P164" s="75" t="str">
        <f t="shared" si="35"/>
        <v/>
      </c>
      <c r="Q164" s="75" t="str">
        <f t="shared" si="36"/>
        <v/>
      </c>
      <c r="R164" s="75" t="str">
        <f t="shared" si="38"/>
        <v/>
      </c>
      <c r="AB164" t="s">
        <v>2005</v>
      </c>
      <c r="AC164" t="s">
        <v>2006</v>
      </c>
      <c r="AD164" s="75" t="s">
        <v>5139</v>
      </c>
      <c r="AE164" s="75" t="s">
        <v>5140</v>
      </c>
      <c r="AF164" s="75" t="s">
        <v>5165</v>
      </c>
      <c r="AG164" s="75" t="s">
        <v>5172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30"/>
        <v/>
      </c>
      <c r="E165" s="85"/>
      <c r="F165" s="80" t="str">
        <f t="shared" si="31"/>
        <v/>
      </c>
      <c r="G165" s="118"/>
      <c r="H165" s="80" t="str">
        <f t="shared" si="32"/>
        <v/>
      </c>
      <c r="I165" s="80" t="str">
        <f t="shared" si="33"/>
        <v/>
      </c>
      <c r="J165" s="117"/>
      <c r="K165" s="117"/>
      <c r="L165" s="117"/>
      <c r="M165" s="84"/>
      <c r="O165" s="75" t="str">
        <f t="shared" si="34"/>
        <v/>
      </c>
      <c r="P165" s="75" t="str">
        <f t="shared" si="35"/>
        <v/>
      </c>
      <c r="Q165" s="75" t="str">
        <f t="shared" si="36"/>
        <v/>
      </c>
      <c r="R165" s="75" t="str">
        <f t="shared" si="38"/>
        <v/>
      </c>
      <c r="AB165" t="s">
        <v>1653</v>
      </c>
      <c r="AC165" t="s">
        <v>1654</v>
      </c>
      <c r="AD165" s="75" t="s">
        <v>5155</v>
      </c>
      <c r="AE165" s="75" t="s">
        <v>5156</v>
      </c>
      <c r="AF165" s="75" t="s">
        <v>5165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30"/>
        <v/>
      </c>
      <c r="E166" s="85"/>
      <c r="F166" s="80" t="str">
        <f t="shared" si="31"/>
        <v/>
      </c>
      <c r="G166" s="118"/>
      <c r="H166" s="80" t="str">
        <f t="shared" si="32"/>
        <v/>
      </c>
      <c r="I166" s="80" t="str">
        <f t="shared" si="33"/>
        <v/>
      </c>
      <c r="J166" s="117"/>
      <c r="K166" s="117"/>
      <c r="L166" s="117"/>
      <c r="M166" s="84"/>
      <c r="O166" s="75" t="str">
        <f t="shared" si="34"/>
        <v/>
      </c>
      <c r="P166" s="75" t="str">
        <f t="shared" si="35"/>
        <v/>
      </c>
      <c r="Q166" s="75" t="str">
        <f t="shared" si="36"/>
        <v/>
      </c>
      <c r="R166" s="75" t="str">
        <f t="shared" si="38"/>
        <v/>
      </c>
      <c r="AB166" t="s">
        <v>2007</v>
      </c>
      <c r="AC166" t="s">
        <v>1992</v>
      </c>
      <c r="AD166" s="75" t="s">
        <v>5143</v>
      </c>
      <c r="AE166" s="75" t="s">
        <v>5144</v>
      </c>
      <c r="AF166" s="75" t="s">
        <v>5165</v>
      </c>
      <c r="AG166" s="75" t="s">
        <v>5175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30"/>
        <v/>
      </c>
      <c r="E167" s="85"/>
      <c r="F167" s="80" t="str">
        <f t="shared" si="31"/>
        <v/>
      </c>
      <c r="G167" s="118"/>
      <c r="H167" s="80" t="str">
        <f t="shared" si="32"/>
        <v/>
      </c>
      <c r="I167" s="80" t="str">
        <f t="shared" si="33"/>
        <v/>
      </c>
      <c r="J167" s="117"/>
      <c r="K167" s="117"/>
      <c r="L167" s="117"/>
      <c r="M167" s="84"/>
      <c r="O167" s="75" t="str">
        <f t="shared" si="34"/>
        <v/>
      </c>
      <c r="P167" s="75" t="str">
        <f t="shared" si="35"/>
        <v/>
      </c>
      <c r="Q167" s="75" t="str">
        <f t="shared" si="36"/>
        <v/>
      </c>
      <c r="R167" s="75" t="str">
        <f t="shared" si="38"/>
        <v/>
      </c>
      <c r="AB167" t="s">
        <v>2008</v>
      </c>
      <c r="AC167" t="s">
        <v>3477</v>
      </c>
      <c r="AD167" s="75" t="s">
        <v>5139</v>
      </c>
      <c r="AE167" s="75" t="s">
        <v>5140</v>
      </c>
      <c r="AF167" s="75" t="s">
        <v>5165</v>
      </c>
      <c r="AG167" s="75" t="s">
        <v>5172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30"/>
        <v/>
      </c>
      <c r="E168" s="85"/>
      <c r="F168" s="80" t="str">
        <f t="shared" si="31"/>
        <v/>
      </c>
      <c r="G168" s="118"/>
      <c r="H168" s="80" t="str">
        <f t="shared" si="32"/>
        <v/>
      </c>
      <c r="I168" s="80" t="str">
        <f t="shared" si="33"/>
        <v/>
      </c>
      <c r="J168" s="117"/>
      <c r="K168" s="117"/>
      <c r="L168" s="117"/>
      <c r="M168" s="84"/>
      <c r="O168" s="75" t="str">
        <f t="shared" si="34"/>
        <v/>
      </c>
      <c r="P168" s="75" t="str">
        <f t="shared" si="35"/>
        <v/>
      </c>
      <c r="Q168" s="75" t="str">
        <f t="shared" si="36"/>
        <v/>
      </c>
      <c r="R168" s="75" t="str">
        <f t="shared" si="38"/>
        <v/>
      </c>
      <c r="AB168" t="s">
        <v>3478</v>
      </c>
      <c r="AC168" t="s">
        <v>3479</v>
      </c>
      <c r="AD168" s="75" t="s">
        <v>5141</v>
      </c>
      <c r="AE168" s="75" t="s">
        <v>5142</v>
      </c>
      <c r="AF168" s="75" t="s">
        <v>5167</v>
      </c>
      <c r="AG168" s="75" t="s">
        <v>5168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30"/>
        <v/>
      </c>
      <c r="E169" s="85"/>
      <c r="F169" s="80" t="str">
        <f t="shared" si="31"/>
        <v/>
      </c>
      <c r="G169" s="118"/>
      <c r="H169" s="80" t="str">
        <f t="shared" si="32"/>
        <v/>
      </c>
      <c r="I169" s="80" t="str">
        <f t="shared" si="33"/>
        <v/>
      </c>
      <c r="J169" s="117"/>
      <c r="K169" s="117"/>
      <c r="L169" s="117"/>
      <c r="M169" s="84"/>
      <c r="O169" s="75" t="str">
        <f t="shared" si="34"/>
        <v/>
      </c>
      <c r="P169" s="75" t="str">
        <f t="shared" si="35"/>
        <v/>
      </c>
      <c r="Q169" s="75" t="str">
        <f t="shared" si="36"/>
        <v/>
      </c>
      <c r="R169" s="75" t="str">
        <f t="shared" si="38"/>
        <v/>
      </c>
      <c r="AB169" t="s">
        <v>3480</v>
      </c>
      <c r="AC169" t="s">
        <v>3481</v>
      </c>
      <c r="AD169" s="75" t="s">
        <v>5143</v>
      </c>
      <c r="AE169" s="75" t="s">
        <v>5144</v>
      </c>
      <c r="AF169" s="75" t="s">
        <v>5165</v>
      </c>
      <c r="AG169" s="75" t="s">
        <v>5175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30"/>
        <v/>
      </c>
      <c r="E170" s="85"/>
      <c r="F170" s="80" t="str">
        <f t="shared" si="31"/>
        <v/>
      </c>
      <c r="G170" s="118"/>
      <c r="H170" s="80" t="str">
        <f t="shared" si="32"/>
        <v/>
      </c>
      <c r="I170" s="80" t="str">
        <f t="shared" si="33"/>
        <v/>
      </c>
      <c r="J170" s="117"/>
      <c r="K170" s="117"/>
      <c r="L170" s="117"/>
      <c r="M170" s="84"/>
      <c r="O170" s="75" t="str">
        <f t="shared" si="34"/>
        <v/>
      </c>
      <c r="P170" s="75" t="str">
        <f t="shared" si="35"/>
        <v/>
      </c>
      <c r="Q170" s="75" t="str">
        <f t="shared" si="36"/>
        <v/>
      </c>
      <c r="R170" s="75" t="str">
        <f t="shared" si="38"/>
        <v/>
      </c>
      <c r="AB170" t="s">
        <v>956</v>
      </c>
      <c r="AC170" t="s">
        <v>1001</v>
      </c>
      <c r="AD170" s="75" t="s">
        <v>5159</v>
      </c>
      <c r="AE170" s="75" t="s">
        <v>5160</v>
      </c>
      <c r="AF170" s="75" t="s">
        <v>5165</v>
      </c>
      <c r="AG170" s="75" t="s">
        <v>5177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30"/>
        <v/>
      </c>
      <c r="E171" s="85"/>
      <c r="F171" s="80" t="str">
        <f t="shared" si="31"/>
        <v/>
      </c>
      <c r="G171" s="118"/>
      <c r="H171" s="80" t="str">
        <f t="shared" si="32"/>
        <v/>
      </c>
      <c r="I171" s="80" t="str">
        <f t="shared" si="33"/>
        <v/>
      </c>
      <c r="J171" s="117"/>
      <c r="K171" s="117"/>
      <c r="L171" s="117"/>
      <c r="M171" s="84"/>
      <c r="O171" s="75" t="str">
        <f t="shared" si="34"/>
        <v/>
      </c>
      <c r="P171" s="75" t="str">
        <f t="shared" si="35"/>
        <v/>
      </c>
      <c r="Q171" s="75" t="str">
        <f t="shared" si="36"/>
        <v/>
      </c>
      <c r="R171" s="75" t="str">
        <f t="shared" si="38"/>
        <v/>
      </c>
      <c r="AB171" t="s">
        <v>3482</v>
      </c>
      <c r="AC171" t="s">
        <v>3483</v>
      </c>
      <c r="AD171" s="75" t="s">
        <v>5143</v>
      </c>
      <c r="AE171" s="75" t="s">
        <v>5144</v>
      </c>
      <c r="AF171" s="75" t="s">
        <v>5165</v>
      </c>
      <c r="AG171" s="75" t="s">
        <v>5175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30"/>
        <v/>
      </c>
      <c r="E172" s="85"/>
      <c r="F172" s="80" t="str">
        <f t="shared" si="31"/>
        <v/>
      </c>
      <c r="G172" s="118"/>
      <c r="H172" s="80" t="str">
        <f t="shared" si="32"/>
        <v/>
      </c>
      <c r="I172" s="80" t="str">
        <f t="shared" si="33"/>
        <v/>
      </c>
      <c r="J172" s="313"/>
      <c r="K172" s="313"/>
      <c r="L172" s="313"/>
      <c r="M172" s="84"/>
      <c r="O172" s="75" t="str">
        <f t="shared" si="34"/>
        <v/>
      </c>
      <c r="P172" s="75" t="str">
        <f t="shared" si="35"/>
        <v/>
      </c>
      <c r="Q172" s="75" t="str">
        <f t="shared" si="36"/>
        <v/>
      </c>
      <c r="R172" s="75" t="str">
        <f t="shared" si="38"/>
        <v/>
      </c>
      <c r="AB172" t="s">
        <v>48</v>
      </c>
      <c r="AC172" t="s">
        <v>49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30"/>
        <v/>
      </c>
      <c r="E173" s="85"/>
      <c r="F173" s="80" t="str">
        <f t="shared" si="31"/>
        <v/>
      </c>
      <c r="G173" s="118"/>
      <c r="H173" s="80" t="str">
        <f t="shared" si="32"/>
        <v/>
      </c>
      <c r="I173" s="80" t="str">
        <f t="shared" si="33"/>
        <v/>
      </c>
      <c r="J173" s="313"/>
      <c r="K173" s="313"/>
      <c r="L173" s="313"/>
      <c r="M173" s="84"/>
      <c r="N173" s="326">
        <f>SUM(J3:J167)</f>
        <v>759568</v>
      </c>
      <c r="O173" s="75" t="str">
        <f t="shared" si="34"/>
        <v/>
      </c>
      <c r="P173" s="75" t="str">
        <f t="shared" si="35"/>
        <v/>
      </c>
      <c r="Q173" s="75" t="str">
        <f t="shared" si="36"/>
        <v/>
      </c>
      <c r="R173" s="75" t="str">
        <f t="shared" si="38"/>
        <v/>
      </c>
      <c r="AB173" t="s">
        <v>58</v>
      </c>
      <c r="AC173" t="s">
        <v>59</v>
      </c>
      <c r="AD173" s="75" t="s">
        <v>5147</v>
      </c>
      <c r="AE173" s="75" t="s">
        <v>5148</v>
      </c>
      <c r="AF173" s="75" t="s">
        <v>5165</v>
      </c>
      <c r="AG173" s="75" t="s">
        <v>5173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30"/>
        <v/>
      </c>
      <c r="E174" s="85"/>
      <c r="F174" s="80" t="str">
        <f t="shared" si="31"/>
        <v/>
      </c>
      <c r="G174" s="118"/>
      <c r="H174" s="80" t="str">
        <f t="shared" si="32"/>
        <v/>
      </c>
      <c r="I174" s="80" t="str">
        <f t="shared" si="33"/>
        <v/>
      </c>
      <c r="J174" s="313"/>
      <c r="K174" s="313"/>
      <c r="L174" s="313"/>
      <c r="M174" s="84"/>
      <c r="N174" s="326">
        <f>SUM('Unos rashoda P4'!H3:H102)</f>
        <v>10985</v>
      </c>
      <c r="O174" s="75" t="str">
        <f t="shared" si="34"/>
        <v/>
      </c>
      <c r="P174" s="75" t="str">
        <f t="shared" si="35"/>
        <v/>
      </c>
      <c r="Q174" s="75" t="str">
        <f t="shared" si="36"/>
        <v/>
      </c>
      <c r="R174" s="75" t="str">
        <f t="shared" si="38"/>
        <v/>
      </c>
      <c r="AB174" t="s">
        <v>61</v>
      </c>
      <c r="AC174" t="s">
        <v>62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30"/>
        <v/>
      </c>
      <c r="E175" s="85"/>
      <c r="F175" s="80" t="str">
        <f t="shared" si="31"/>
        <v/>
      </c>
      <c r="G175" s="118"/>
      <c r="H175" s="80" t="str">
        <f t="shared" si="32"/>
        <v/>
      </c>
      <c r="I175" s="80" t="str">
        <f t="shared" si="33"/>
        <v/>
      </c>
      <c r="J175" s="313"/>
      <c r="K175" s="313"/>
      <c r="L175" s="313"/>
      <c r="M175" s="84"/>
      <c r="N175" s="326">
        <f>+N174+N173</f>
        <v>770553</v>
      </c>
      <c r="O175" s="75" t="str">
        <f t="shared" si="34"/>
        <v/>
      </c>
      <c r="P175" s="75" t="str">
        <f t="shared" si="35"/>
        <v/>
      </c>
      <c r="Q175" s="75" t="str">
        <f t="shared" si="36"/>
        <v/>
      </c>
      <c r="R175" s="75" t="str">
        <f t="shared" si="38"/>
        <v/>
      </c>
      <c r="AB175" t="s">
        <v>63</v>
      </c>
      <c r="AC175" t="s">
        <v>64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30"/>
        <v/>
      </c>
      <c r="E176" s="85"/>
      <c r="F176" s="80" t="str">
        <f t="shared" si="31"/>
        <v/>
      </c>
      <c r="G176" s="118"/>
      <c r="H176" s="80" t="str">
        <f t="shared" si="32"/>
        <v/>
      </c>
      <c r="I176" s="80" t="str">
        <f t="shared" si="33"/>
        <v/>
      </c>
      <c r="J176" s="313"/>
      <c r="K176" s="313"/>
      <c r="L176" s="313"/>
      <c r="M176" s="84"/>
      <c r="N176" s="326">
        <f>+J169+'Unos rashoda P4'!H105</f>
        <v>0</v>
      </c>
      <c r="O176" s="75" t="str">
        <f t="shared" si="34"/>
        <v/>
      </c>
      <c r="P176" s="75" t="str">
        <f t="shared" si="35"/>
        <v/>
      </c>
      <c r="Q176" s="75" t="str">
        <f t="shared" si="36"/>
        <v/>
      </c>
      <c r="R176" s="75" t="str">
        <f t="shared" si="38"/>
        <v/>
      </c>
      <c r="AB176" t="s">
        <v>674</v>
      </c>
      <c r="AC176" t="s">
        <v>675</v>
      </c>
      <c r="AD176" s="75" t="s">
        <v>5147</v>
      </c>
      <c r="AE176" s="75" t="s">
        <v>5148</v>
      </c>
      <c r="AF176" s="75" t="s">
        <v>5165</v>
      </c>
      <c r="AG176" s="75" t="s">
        <v>5173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30"/>
        <v/>
      </c>
      <c r="E177" s="85"/>
      <c r="F177" s="80" t="str">
        <f t="shared" si="31"/>
        <v/>
      </c>
      <c r="G177" s="118"/>
      <c r="H177" s="80" t="str">
        <f t="shared" si="32"/>
        <v/>
      </c>
      <c r="I177" s="80" t="str">
        <f t="shared" si="33"/>
        <v/>
      </c>
      <c r="J177" s="313"/>
      <c r="K177" s="313"/>
      <c r="L177" s="313"/>
      <c r="M177" s="84"/>
      <c r="N177" s="326">
        <f>+N175+N176</f>
        <v>770553</v>
      </c>
      <c r="O177" s="75" t="str">
        <f t="shared" si="34"/>
        <v/>
      </c>
      <c r="P177" s="75" t="str">
        <f t="shared" si="35"/>
        <v/>
      </c>
      <c r="Q177" s="75" t="str">
        <f t="shared" si="36"/>
        <v/>
      </c>
      <c r="R177" s="75" t="str">
        <f t="shared" si="38"/>
        <v/>
      </c>
      <c r="AB177" t="s">
        <v>68</v>
      </c>
      <c r="AC177" t="s">
        <v>69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30"/>
        <v/>
      </c>
      <c r="E178" s="85"/>
      <c r="F178" s="80" t="str">
        <f t="shared" si="31"/>
        <v/>
      </c>
      <c r="G178" s="118"/>
      <c r="H178" s="80" t="str">
        <f t="shared" si="32"/>
        <v/>
      </c>
      <c r="I178" s="80" t="str">
        <f t="shared" si="33"/>
        <v/>
      </c>
      <c r="J178" s="313"/>
      <c r="K178" s="313"/>
      <c r="L178" s="313"/>
      <c r="M178" s="84"/>
      <c r="O178" s="75" t="str">
        <f t="shared" si="34"/>
        <v/>
      </c>
      <c r="P178" s="75" t="str">
        <f t="shared" si="35"/>
        <v/>
      </c>
      <c r="Q178" s="75" t="str">
        <f t="shared" si="36"/>
        <v/>
      </c>
      <c r="R178" s="75" t="str">
        <f t="shared" si="38"/>
        <v/>
      </c>
      <c r="AB178" t="s">
        <v>70</v>
      </c>
      <c r="AC178" t="s">
        <v>71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30"/>
        <v/>
      </c>
      <c r="E179" s="85"/>
      <c r="F179" s="80" t="str">
        <f t="shared" si="31"/>
        <v/>
      </c>
      <c r="G179" s="118"/>
      <c r="H179" s="80" t="str">
        <f t="shared" si="32"/>
        <v/>
      </c>
      <c r="I179" s="80" t="str">
        <f t="shared" si="33"/>
        <v/>
      </c>
      <c r="J179" s="117"/>
      <c r="K179" s="117"/>
      <c r="L179" s="117"/>
      <c r="M179" s="84"/>
      <c r="O179" s="75" t="str">
        <f t="shared" si="34"/>
        <v/>
      </c>
      <c r="P179" s="75" t="str">
        <f t="shared" si="35"/>
        <v/>
      </c>
      <c r="Q179" s="75" t="str">
        <f t="shared" si="36"/>
        <v/>
      </c>
      <c r="R179" s="75" t="str">
        <f t="shared" si="38"/>
        <v/>
      </c>
      <c r="AB179" s="75" t="s">
        <v>72</v>
      </c>
      <c r="AC179" s="75" t="s">
        <v>73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30"/>
        <v/>
      </c>
      <c r="E180" s="85"/>
      <c r="F180" s="80" t="str">
        <f t="shared" si="31"/>
        <v/>
      </c>
      <c r="G180" s="118"/>
      <c r="H180" s="80" t="str">
        <f t="shared" si="32"/>
        <v/>
      </c>
      <c r="I180" s="80" t="str">
        <f t="shared" si="33"/>
        <v/>
      </c>
      <c r="J180" s="117"/>
      <c r="K180" s="117"/>
      <c r="L180" s="117"/>
      <c r="M180" s="84"/>
      <c r="N180" s="326"/>
      <c r="O180" s="75" t="str">
        <f t="shared" si="34"/>
        <v/>
      </c>
      <c r="P180" s="75" t="str">
        <f t="shared" si="35"/>
        <v/>
      </c>
      <c r="Q180" s="75" t="str">
        <f t="shared" si="36"/>
        <v/>
      </c>
      <c r="R180" s="75" t="str">
        <f t="shared" si="38"/>
        <v/>
      </c>
      <c r="AB180" s="75" t="s">
        <v>75</v>
      </c>
      <c r="AC180" s="75" t="s">
        <v>76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30"/>
        <v/>
      </c>
      <c r="E181" s="85"/>
      <c r="F181" s="80" t="str">
        <f t="shared" si="31"/>
        <v/>
      </c>
      <c r="G181" s="118"/>
      <c r="H181" s="80" t="str">
        <f t="shared" si="32"/>
        <v/>
      </c>
      <c r="I181" s="80" t="str">
        <f t="shared" si="33"/>
        <v/>
      </c>
      <c r="J181" s="117"/>
      <c r="K181" s="117"/>
      <c r="L181" s="117"/>
      <c r="M181" s="84"/>
      <c r="O181" s="75" t="str">
        <f t="shared" si="34"/>
        <v/>
      </c>
      <c r="P181" s="75" t="str">
        <f t="shared" si="35"/>
        <v/>
      </c>
      <c r="Q181" s="75" t="str">
        <f t="shared" si="36"/>
        <v/>
      </c>
      <c r="R181" s="75" t="str">
        <f t="shared" si="38"/>
        <v/>
      </c>
      <c r="AB181" s="75" t="s">
        <v>678</v>
      </c>
      <c r="AC181" s="75" t="s">
        <v>679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30"/>
        <v/>
      </c>
      <c r="E182" s="85"/>
      <c r="F182" s="80" t="str">
        <f t="shared" si="31"/>
        <v/>
      </c>
      <c r="G182" s="118"/>
      <c r="H182" s="80" t="str">
        <f t="shared" si="32"/>
        <v/>
      </c>
      <c r="I182" s="80" t="str">
        <f t="shared" si="33"/>
        <v/>
      </c>
      <c r="J182" s="117"/>
      <c r="K182" s="117"/>
      <c r="L182" s="117"/>
      <c r="M182" s="84"/>
      <c r="N182" s="326"/>
      <c r="O182" s="75" t="str">
        <f t="shared" si="34"/>
        <v/>
      </c>
      <c r="P182" s="75" t="str">
        <f t="shared" si="35"/>
        <v/>
      </c>
      <c r="Q182" s="75" t="str">
        <f t="shared" si="36"/>
        <v/>
      </c>
      <c r="R182" s="75" t="str">
        <f t="shared" si="38"/>
        <v/>
      </c>
      <c r="AB182" s="75" t="s">
        <v>1873</v>
      </c>
      <c r="AC182" s="75" t="s">
        <v>933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30"/>
        <v/>
      </c>
      <c r="E183" s="85"/>
      <c r="F183" s="80" t="str">
        <f t="shared" si="31"/>
        <v/>
      </c>
      <c r="G183" s="118"/>
      <c r="H183" s="80" t="str">
        <f t="shared" si="32"/>
        <v/>
      </c>
      <c r="I183" s="80" t="str">
        <f t="shared" si="33"/>
        <v/>
      </c>
      <c r="J183" s="117"/>
      <c r="K183" s="117"/>
      <c r="L183" s="117"/>
      <c r="M183" s="84"/>
      <c r="O183" s="75" t="str">
        <f t="shared" si="34"/>
        <v/>
      </c>
      <c r="P183" s="75" t="str">
        <f t="shared" si="35"/>
        <v/>
      </c>
      <c r="Q183" s="75" t="str">
        <f t="shared" si="36"/>
        <v/>
      </c>
      <c r="R183" s="75" t="str">
        <f t="shared" si="38"/>
        <v/>
      </c>
      <c r="AB183" s="75" t="s">
        <v>934</v>
      </c>
      <c r="AC183" s="75" t="s">
        <v>935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30"/>
        <v/>
      </c>
      <c r="E184" s="85"/>
      <c r="F184" s="80" t="str">
        <f t="shared" si="31"/>
        <v/>
      </c>
      <c r="G184" s="118"/>
      <c r="H184" s="80" t="str">
        <f t="shared" si="32"/>
        <v/>
      </c>
      <c r="I184" s="80" t="str">
        <f t="shared" si="33"/>
        <v/>
      </c>
      <c r="J184" s="117"/>
      <c r="K184" s="117"/>
      <c r="L184" s="117"/>
      <c r="M184" s="84"/>
      <c r="O184" s="75" t="str">
        <f t="shared" si="34"/>
        <v/>
      </c>
      <c r="P184" s="75" t="str">
        <f t="shared" si="35"/>
        <v/>
      </c>
      <c r="Q184" s="75" t="str">
        <f t="shared" si="36"/>
        <v/>
      </c>
      <c r="R184" s="75" t="str">
        <f t="shared" si="38"/>
        <v/>
      </c>
      <c r="AB184" s="75" t="s">
        <v>680</v>
      </c>
      <c r="AC184" s="75" t="s">
        <v>681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30"/>
        <v/>
      </c>
      <c r="E185" s="85"/>
      <c r="F185" s="80" t="str">
        <f t="shared" si="31"/>
        <v/>
      </c>
      <c r="G185" s="118"/>
      <c r="H185" s="80" t="str">
        <f t="shared" si="32"/>
        <v/>
      </c>
      <c r="I185" s="80" t="str">
        <f t="shared" si="33"/>
        <v/>
      </c>
      <c r="J185" s="117"/>
      <c r="K185" s="117"/>
      <c r="L185" s="117"/>
      <c r="M185" s="84"/>
      <c r="O185" s="75" t="str">
        <f t="shared" si="34"/>
        <v/>
      </c>
      <c r="P185" s="75" t="str">
        <f t="shared" si="35"/>
        <v/>
      </c>
      <c r="Q185" s="75" t="str">
        <f t="shared" si="36"/>
        <v/>
      </c>
      <c r="R185" s="75" t="str">
        <f t="shared" si="38"/>
        <v/>
      </c>
      <c r="AB185" s="75" t="s">
        <v>672</v>
      </c>
      <c r="AC185" s="75" t="s">
        <v>673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30"/>
        <v/>
      </c>
      <c r="E186" s="85"/>
      <c r="F186" s="80" t="str">
        <f t="shared" si="31"/>
        <v/>
      </c>
      <c r="G186" s="118"/>
      <c r="H186" s="80" t="str">
        <f t="shared" si="32"/>
        <v/>
      </c>
      <c r="I186" s="80" t="str">
        <f t="shared" si="33"/>
        <v/>
      </c>
      <c r="J186" s="117"/>
      <c r="K186" s="117"/>
      <c r="L186" s="117"/>
      <c r="M186" s="84"/>
      <c r="O186" s="75" t="str">
        <f t="shared" si="34"/>
        <v/>
      </c>
      <c r="P186" s="75" t="str">
        <f t="shared" si="35"/>
        <v/>
      </c>
      <c r="Q186" s="75" t="str">
        <f t="shared" si="36"/>
        <v/>
      </c>
      <c r="R186" s="75" t="str">
        <f t="shared" si="38"/>
        <v/>
      </c>
      <c r="AB186" s="75" t="s">
        <v>92</v>
      </c>
      <c r="AC186" s="75" t="s">
        <v>1737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30"/>
        <v/>
      </c>
      <c r="E187" s="85"/>
      <c r="F187" s="80" t="str">
        <f t="shared" si="31"/>
        <v/>
      </c>
      <c r="G187" s="118"/>
      <c r="H187" s="80" t="str">
        <f t="shared" si="32"/>
        <v/>
      </c>
      <c r="I187" s="80" t="str">
        <f t="shared" si="33"/>
        <v/>
      </c>
      <c r="J187" s="117"/>
      <c r="K187" s="117"/>
      <c r="L187" s="117"/>
      <c r="M187" s="84"/>
      <c r="O187" s="75" t="str">
        <f t="shared" si="34"/>
        <v/>
      </c>
      <c r="P187" s="75" t="str">
        <f t="shared" si="35"/>
        <v/>
      </c>
      <c r="Q187" s="75" t="str">
        <f t="shared" si="36"/>
        <v/>
      </c>
      <c r="R187" s="75" t="str">
        <f t="shared" si="38"/>
        <v/>
      </c>
      <c r="AB187" s="75" t="s">
        <v>117</v>
      </c>
      <c r="AC187" s="75" t="s">
        <v>1738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30"/>
        <v/>
      </c>
      <c r="E188" s="85"/>
      <c r="F188" s="80" t="str">
        <f t="shared" si="31"/>
        <v/>
      </c>
      <c r="G188" s="118"/>
      <c r="H188" s="80" t="str">
        <f t="shared" si="32"/>
        <v/>
      </c>
      <c r="I188" s="80" t="str">
        <f t="shared" si="33"/>
        <v/>
      </c>
      <c r="J188" s="117"/>
      <c r="K188" s="117"/>
      <c r="L188" s="117"/>
      <c r="M188" s="84"/>
      <c r="O188" s="75" t="str">
        <f t="shared" si="34"/>
        <v/>
      </c>
      <c r="P188" s="75" t="str">
        <f t="shared" si="35"/>
        <v/>
      </c>
      <c r="Q188" s="75" t="str">
        <f t="shared" si="36"/>
        <v/>
      </c>
      <c r="R188" s="75" t="str">
        <f t="shared" si="38"/>
        <v/>
      </c>
      <c r="AB188" s="75" t="s">
        <v>1908</v>
      </c>
      <c r="AC188" s="75" t="s">
        <v>1909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30"/>
        <v/>
      </c>
      <c r="E189" s="85"/>
      <c r="F189" s="80" t="str">
        <f t="shared" si="31"/>
        <v/>
      </c>
      <c r="G189" s="118"/>
      <c r="H189" s="80" t="str">
        <f t="shared" si="32"/>
        <v/>
      </c>
      <c r="I189" s="80" t="str">
        <f t="shared" si="33"/>
        <v/>
      </c>
      <c r="J189" s="117"/>
      <c r="K189" s="117"/>
      <c r="L189" s="117"/>
      <c r="M189" s="84"/>
      <c r="O189" s="75" t="str">
        <f t="shared" si="34"/>
        <v/>
      </c>
      <c r="P189" s="75" t="str">
        <f t="shared" si="35"/>
        <v/>
      </c>
      <c r="Q189" s="75" t="str">
        <f t="shared" si="36"/>
        <v/>
      </c>
      <c r="R189" s="75" t="str">
        <f t="shared" si="38"/>
        <v/>
      </c>
      <c r="AB189" s="75" t="s">
        <v>124</v>
      </c>
      <c r="AC189" s="75" t="s">
        <v>1739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30"/>
        <v/>
      </c>
      <c r="E190" s="85"/>
      <c r="F190" s="80" t="str">
        <f t="shared" si="31"/>
        <v/>
      </c>
      <c r="G190" s="118"/>
      <c r="H190" s="80" t="str">
        <f t="shared" si="32"/>
        <v/>
      </c>
      <c r="I190" s="80" t="str">
        <f t="shared" si="33"/>
        <v/>
      </c>
      <c r="J190" s="117"/>
      <c r="K190" s="117"/>
      <c r="L190" s="117"/>
      <c r="M190" s="84"/>
      <c r="O190" s="75" t="str">
        <f t="shared" si="34"/>
        <v/>
      </c>
      <c r="P190" s="75" t="str">
        <f t="shared" si="35"/>
        <v/>
      </c>
      <c r="Q190" s="75" t="str">
        <f t="shared" si="36"/>
        <v/>
      </c>
      <c r="R190" s="75" t="str">
        <f t="shared" si="38"/>
        <v/>
      </c>
      <c r="AB190" s="75" t="s">
        <v>130</v>
      </c>
      <c r="AC190" s="75" t="s">
        <v>1740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30"/>
        <v/>
      </c>
      <c r="E191" s="85"/>
      <c r="F191" s="80" t="str">
        <f t="shared" si="31"/>
        <v/>
      </c>
      <c r="G191" s="118"/>
      <c r="H191" s="80" t="str">
        <f t="shared" si="32"/>
        <v/>
      </c>
      <c r="I191" s="80" t="str">
        <f t="shared" si="33"/>
        <v/>
      </c>
      <c r="J191" s="117"/>
      <c r="K191" s="117"/>
      <c r="L191" s="117"/>
      <c r="M191" s="84"/>
      <c r="O191" s="75" t="str">
        <f t="shared" si="34"/>
        <v/>
      </c>
      <c r="P191" s="75" t="str">
        <f t="shared" si="35"/>
        <v/>
      </c>
      <c r="Q191" s="75" t="str">
        <f t="shared" si="36"/>
        <v/>
      </c>
      <c r="R191" s="75" t="str">
        <f t="shared" si="38"/>
        <v/>
      </c>
      <c r="AB191" s="75" t="s">
        <v>132</v>
      </c>
      <c r="AC191" s="75" t="s">
        <v>1741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30"/>
        <v/>
      </c>
      <c r="E192" s="85"/>
      <c r="F192" s="80" t="str">
        <f t="shared" si="31"/>
        <v/>
      </c>
      <c r="G192" s="118"/>
      <c r="H192" s="80" t="str">
        <f t="shared" si="32"/>
        <v/>
      </c>
      <c r="I192" s="80" t="str">
        <f t="shared" si="33"/>
        <v/>
      </c>
      <c r="J192" s="117"/>
      <c r="K192" s="117"/>
      <c r="L192" s="117"/>
      <c r="M192" s="84"/>
      <c r="O192" s="75" t="str">
        <f t="shared" si="34"/>
        <v/>
      </c>
      <c r="P192" s="75" t="str">
        <f t="shared" si="35"/>
        <v/>
      </c>
      <c r="Q192" s="75" t="str">
        <f t="shared" si="36"/>
        <v/>
      </c>
      <c r="R192" s="75" t="str">
        <f t="shared" si="38"/>
        <v/>
      </c>
      <c r="AB192" s="75" t="s">
        <v>134</v>
      </c>
      <c r="AC192" s="75" t="s">
        <v>1910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30"/>
        <v/>
      </c>
      <c r="E193" s="85"/>
      <c r="F193" s="80" t="str">
        <f t="shared" si="31"/>
        <v/>
      </c>
      <c r="G193" s="118"/>
      <c r="H193" s="80" t="str">
        <f t="shared" si="32"/>
        <v/>
      </c>
      <c r="I193" s="80" t="str">
        <f t="shared" si="33"/>
        <v/>
      </c>
      <c r="J193" s="117"/>
      <c r="K193" s="117"/>
      <c r="L193" s="117"/>
      <c r="M193" s="84"/>
      <c r="O193" s="75" t="str">
        <f t="shared" si="34"/>
        <v/>
      </c>
      <c r="P193" s="75" t="str">
        <f t="shared" si="35"/>
        <v/>
      </c>
      <c r="Q193" s="75" t="str">
        <f t="shared" si="36"/>
        <v/>
      </c>
      <c r="R193" s="75" t="str">
        <f t="shared" si="38"/>
        <v/>
      </c>
      <c r="AB193" s="75" t="s">
        <v>138</v>
      </c>
      <c r="AC193" s="75" t="s">
        <v>1911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30"/>
        <v/>
      </c>
      <c r="E194" s="85"/>
      <c r="F194" s="80" t="str">
        <f t="shared" si="31"/>
        <v/>
      </c>
      <c r="G194" s="118"/>
      <c r="H194" s="80" t="str">
        <f t="shared" si="32"/>
        <v/>
      </c>
      <c r="I194" s="80" t="str">
        <f t="shared" si="33"/>
        <v/>
      </c>
      <c r="J194" s="117"/>
      <c r="K194" s="117"/>
      <c r="L194" s="117"/>
      <c r="M194" s="84"/>
      <c r="O194" s="75" t="str">
        <f t="shared" si="34"/>
        <v/>
      </c>
      <c r="P194" s="75" t="str">
        <f t="shared" si="35"/>
        <v/>
      </c>
      <c r="Q194" s="75" t="str">
        <f t="shared" si="36"/>
        <v/>
      </c>
      <c r="R194" s="75" t="str">
        <f t="shared" si="38"/>
        <v/>
      </c>
      <c r="AB194" s="75" t="s">
        <v>1655</v>
      </c>
      <c r="AC194" s="75" t="s">
        <v>1656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9">IFERROR(VLOOKUP(C195,$S$6:$T$25,2,FALSE),"")</f>
        <v/>
      </c>
      <c r="E195" s="85"/>
      <c r="F195" s="80" t="str">
        <f t="shared" ref="F195:F258" si="40">IFERROR(VLOOKUP(E195,$V$5:$X$152,2,FALSE),"")</f>
        <v/>
      </c>
      <c r="G195" s="118"/>
      <c r="H195" s="80" t="str">
        <f t="shared" ref="H195:H258" si="41">IFERROR(VLOOKUP(G195,$AB$6:$AC$350,2,FALSE),"")</f>
        <v/>
      </c>
      <c r="I195" s="80" t="str">
        <f t="shared" ref="I195:I258" si="42">IFERROR(VLOOKUP(G195,$AB$6:$AF$350,3,FALSE),"")</f>
        <v/>
      </c>
      <c r="J195" s="117"/>
      <c r="K195" s="117"/>
      <c r="L195" s="117"/>
      <c r="M195" s="84"/>
      <c r="O195" s="75" t="str">
        <f t="shared" ref="O195:O258" si="43">LEFT(E195,3)</f>
        <v/>
      </c>
      <c r="P195" s="75" t="str">
        <f t="shared" ref="P195:P258" si="44">LEFT(E195,2)</f>
        <v/>
      </c>
      <c r="Q195" s="75" t="str">
        <f t="shared" ref="Q195:Q258" si="45">LEFT(C195,3)</f>
        <v/>
      </c>
      <c r="R195" s="75" t="str">
        <f t="shared" si="38"/>
        <v/>
      </c>
      <c r="AB195" s="75" t="s">
        <v>142</v>
      </c>
      <c r="AC195" s="75" t="s">
        <v>143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9"/>
        <v/>
      </c>
      <c r="E196" s="85"/>
      <c r="F196" s="80" t="str">
        <f t="shared" si="40"/>
        <v/>
      </c>
      <c r="G196" s="118"/>
      <c r="H196" s="80" t="str">
        <f t="shared" si="41"/>
        <v/>
      </c>
      <c r="I196" s="80" t="str">
        <f t="shared" si="42"/>
        <v/>
      </c>
      <c r="J196" s="117"/>
      <c r="K196" s="117"/>
      <c r="L196" s="117"/>
      <c r="M196" s="84"/>
      <c r="O196" s="75" t="str">
        <f t="shared" si="43"/>
        <v/>
      </c>
      <c r="P196" s="75" t="str">
        <f t="shared" si="44"/>
        <v/>
      </c>
      <c r="Q196" s="75" t="str">
        <f t="shared" si="45"/>
        <v/>
      </c>
      <c r="R196" s="75" t="str">
        <f t="shared" si="38"/>
        <v/>
      </c>
      <c r="AB196" s="75" t="s">
        <v>142</v>
      </c>
      <c r="AC196" s="75" t="s">
        <v>143</v>
      </c>
      <c r="AD196" s="75" t="s">
        <v>5157</v>
      </c>
      <c r="AE196" s="75" t="s">
        <v>5158</v>
      </c>
      <c r="AF196" s="75" t="s">
        <v>5165</v>
      </c>
      <c r="AG196" s="75" t="s">
        <v>5178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9"/>
        <v/>
      </c>
      <c r="E197" s="85"/>
      <c r="F197" s="80" t="str">
        <f t="shared" si="40"/>
        <v/>
      </c>
      <c r="G197" s="118"/>
      <c r="H197" s="80" t="str">
        <f t="shared" si="41"/>
        <v/>
      </c>
      <c r="I197" s="80" t="str">
        <f t="shared" si="42"/>
        <v/>
      </c>
      <c r="J197" s="117"/>
      <c r="K197" s="117"/>
      <c r="L197" s="117"/>
      <c r="M197" s="84"/>
      <c r="O197" s="75" t="str">
        <f t="shared" si="43"/>
        <v/>
      </c>
      <c r="P197" s="75" t="str">
        <f t="shared" si="44"/>
        <v/>
      </c>
      <c r="Q197" s="75" t="str">
        <f t="shared" si="45"/>
        <v/>
      </c>
      <c r="R197" s="75" t="str">
        <f t="shared" si="38"/>
        <v/>
      </c>
      <c r="AB197" s="75" t="s">
        <v>144</v>
      </c>
      <c r="AC197" s="75" t="s">
        <v>1742</v>
      </c>
      <c r="AD197" s="75" t="s">
        <v>5147</v>
      </c>
      <c r="AE197" s="75" t="s">
        <v>5148</v>
      </c>
      <c r="AF197" s="75" t="s">
        <v>5165</v>
      </c>
      <c r="AG197" s="75" t="s">
        <v>5173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9"/>
        <v/>
      </c>
      <c r="E198" s="85"/>
      <c r="F198" s="80" t="str">
        <f t="shared" si="40"/>
        <v/>
      </c>
      <c r="G198" s="118"/>
      <c r="H198" s="80" t="str">
        <f t="shared" si="41"/>
        <v/>
      </c>
      <c r="I198" s="80" t="str">
        <f t="shared" si="42"/>
        <v/>
      </c>
      <c r="J198" s="117"/>
      <c r="K198" s="117"/>
      <c r="L198" s="117"/>
      <c r="M198" s="84"/>
      <c r="O198" s="75" t="str">
        <f t="shared" si="43"/>
        <v/>
      </c>
      <c r="P198" s="75" t="str">
        <f t="shared" si="44"/>
        <v/>
      </c>
      <c r="Q198" s="75" t="str">
        <f t="shared" si="45"/>
        <v/>
      </c>
      <c r="R198" s="75" t="str">
        <f t="shared" si="38"/>
        <v/>
      </c>
      <c r="AB198" s="75" t="s">
        <v>145</v>
      </c>
      <c r="AC198" s="75" t="s">
        <v>1234</v>
      </c>
      <c r="AD198" s="75" t="s">
        <v>5147</v>
      </c>
      <c r="AE198" s="75" t="s">
        <v>5148</v>
      </c>
      <c r="AF198" s="75" t="s">
        <v>5165</v>
      </c>
      <c r="AG198" s="75" t="s">
        <v>5173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9"/>
        <v/>
      </c>
      <c r="E199" s="85"/>
      <c r="F199" s="80" t="str">
        <f t="shared" si="40"/>
        <v/>
      </c>
      <c r="G199" s="118"/>
      <c r="H199" s="80" t="str">
        <f t="shared" si="41"/>
        <v/>
      </c>
      <c r="I199" s="80" t="str">
        <f t="shared" si="42"/>
        <v/>
      </c>
      <c r="J199" s="117"/>
      <c r="K199" s="117"/>
      <c r="L199" s="117"/>
      <c r="M199" s="84"/>
      <c r="O199" s="75" t="str">
        <f t="shared" si="43"/>
        <v/>
      </c>
      <c r="P199" s="75" t="str">
        <f t="shared" si="44"/>
        <v/>
      </c>
      <c r="Q199" s="75" t="str">
        <f t="shared" si="45"/>
        <v/>
      </c>
      <c r="R199" s="75" t="str">
        <f t="shared" si="38"/>
        <v/>
      </c>
      <c r="AB199" s="75" t="s">
        <v>174</v>
      </c>
      <c r="AC199" s="75" t="s">
        <v>1235</v>
      </c>
      <c r="AD199" s="75" t="s">
        <v>5147</v>
      </c>
      <c r="AE199" s="75" t="s">
        <v>5148</v>
      </c>
      <c r="AF199" s="75" t="s">
        <v>5165</v>
      </c>
      <c r="AG199" s="75" t="s">
        <v>5173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9"/>
        <v/>
      </c>
      <c r="E200" s="85"/>
      <c r="F200" s="80" t="str">
        <f t="shared" si="40"/>
        <v/>
      </c>
      <c r="G200" s="118"/>
      <c r="H200" s="80" t="str">
        <f t="shared" si="41"/>
        <v/>
      </c>
      <c r="I200" s="80" t="str">
        <f t="shared" si="42"/>
        <v/>
      </c>
      <c r="J200" s="117"/>
      <c r="K200" s="117"/>
      <c r="L200" s="117"/>
      <c r="M200" s="84"/>
      <c r="O200" s="75" t="str">
        <f t="shared" si="43"/>
        <v/>
      </c>
      <c r="P200" s="75" t="str">
        <f t="shared" si="44"/>
        <v/>
      </c>
      <c r="Q200" s="75" t="str">
        <f t="shared" si="45"/>
        <v/>
      </c>
      <c r="R200" s="75" t="str">
        <f t="shared" si="38"/>
        <v/>
      </c>
      <c r="AB200" s="75" t="s">
        <v>177</v>
      </c>
      <c r="AC200" s="75" t="s">
        <v>1236</v>
      </c>
      <c r="AD200" s="75" t="s">
        <v>5147</v>
      </c>
      <c r="AE200" s="75" t="s">
        <v>5148</v>
      </c>
      <c r="AF200" s="75" t="s">
        <v>5165</v>
      </c>
      <c r="AG200" s="75" t="s">
        <v>5173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9"/>
        <v/>
      </c>
      <c r="E201" s="85"/>
      <c r="F201" s="80" t="str">
        <f t="shared" si="40"/>
        <v/>
      </c>
      <c r="G201" s="118"/>
      <c r="H201" s="80" t="str">
        <f t="shared" si="41"/>
        <v/>
      </c>
      <c r="I201" s="80" t="str">
        <f t="shared" si="42"/>
        <v/>
      </c>
      <c r="J201" s="117"/>
      <c r="K201" s="117"/>
      <c r="L201" s="117"/>
      <c r="M201" s="84"/>
      <c r="O201" s="75" t="str">
        <f t="shared" si="43"/>
        <v/>
      </c>
      <c r="P201" s="75" t="str">
        <f t="shared" si="44"/>
        <v/>
      </c>
      <c r="Q201" s="75" t="str">
        <f t="shared" si="45"/>
        <v/>
      </c>
      <c r="R201" s="75" t="str">
        <f t="shared" si="38"/>
        <v/>
      </c>
      <c r="AB201" s="75" t="s">
        <v>180</v>
      </c>
      <c r="AC201" s="75" t="s">
        <v>1237</v>
      </c>
      <c r="AD201" s="75" t="s">
        <v>5147</v>
      </c>
      <c r="AE201" s="75" t="s">
        <v>5148</v>
      </c>
      <c r="AF201" s="75" t="s">
        <v>5165</v>
      </c>
      <c r="AG201" s="75" t="s">
        <v>5173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9"/>
        <v/>
      </c>
      <c r="E202" s="85"/>
      <c r="F202" s="80" t="str">
        <f t="shared" si="40"/>
        <v/>
      </c>
      <c r="G202" s="118"/>
      <c r="H202" s="80" t="str">
        <f t="shared" si="41"/>
        <v/>
      </c>
      <c r="I202" s="80" t="str">
        <f t="shared" si="42"/>
        <v/>
      </c>
      <c r="J202" s="117"/>
      <c r="K202" s="117"/>
      <c r="L202" s="117"/>
      <c r="M202" s="84"/>
      <c r="O202" s="75" t="str">
        <f t="shared" si="43"/>
        <v/>
      </c>
      <c r="P202" s="75" t="str">
        <f t="shared" si="44"/>
        <v/>
      </c>
      <c r="Q202" s="75" t="str">
        <f t="shared" si="45"/>
        <v/>
      </c>
      <c r="R202" s="75" t="str">
        <f t="shared" si="38"/>
        <v/>
      </c>
      <c r="AB202" s="75" t="s">
        <v>184</v>
      </c>
      <c r="AC202" s="75" t="s">
        <v>1238</v>
      </c>
      <c r="AD202" s="75" t="s">
        <v>5147</v>
      </c>
      <c r="AE202" s="75" t="s">
        <v>5148</v>
      </c>
      <c r="AF202" s="75" t="s">
        <v>5165</v>
      </c>
      <c r="AG202" s="75" t="s">
        <v>5173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9"/>
        <v/>
      </c>
      <c r="E203" s="85"/>
      <c r="F203" s="80" t="str">
        <f t="shared" si="40"/>
        <v/>
      </c>
      <c r="G203" s="118"/>
      <c r="H203" s="80" t="str">
        <f t="shared" si="41"/>
        <v/>
      </c>
      <c r="I203" s="80" t="str">
        <f t="shared" si="42"/>
        <v/>
      </c>
      <c r="J203" s="117"/>
      <c r="K203" s="117"/>
      <c r="L203" s="117"/>
      <c r="M203" s="84"/>
      <c r="O203" s="75" t="str">
        <f t="shared" si="43"/>
        <v/>
      </c>
      <c r="P203" s="75" t="str">
        <f t="shared" si="44"/>
        <v/>
      </c>
      <c r="Q203" s="75" t="str">
        <f t="shared" si="45"/>
        <v/>
      </c>
      <c r="R203" s="75" t="str">
        <f t="shared" si="38"/>
        <v/>
      </c>
      <c r="AB203" s="75" t="s">
        <v>185</v>
      </c>
      <c r="AC203" s="75" t="s">
        <v>1239</v>
      </c>
      <c r="AD203" s="75" t="s">
        <v>5147</v>
      </c>
      <c r="AE203" s="75" t="s">
        <v>5148</v>
      </c>
      <c r="AF203" s="75" t="s">
        <v>5165</v>
      </c>
      <c r="AG203" s="75" t="s">
        <v>5173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9"/>
        <v/>
      </c>
      <c r="E204" s="85"/>
      <c r="F204" s="80" t="str">
        <f t="shared" si="40"/>
        <v/>
      </c>
      <c r="G204" s="118"/>
      <c r="H204" s="80" t="str">
        <f t="shared" si="41"/>
        <v/>
      </c>
      <c r="I204" s="80" t="str">
        <f t="shared" si="42"/>
        <v/>
      </c>
      <c r="J204" s="117"/>
      <c r="K204" s="117"/>
      <c r="L204" s="117"/>
      <c r="M204" s="84"/>
      <c r="O204" s="75" t="str">
        <f t="shared" si="43"/>
        <v/>
      </c>
      <c r="P204" s="75" t="str">
        <f t="shared" si="44"/>
        <v/>
      </c>
      <c r="Q204" s="75" t="str">
        <f t="shared" si="45"/>
        <v/>
      </c>
      <c r="R204" s="75" t="str">
        <f t="shared" si="38"/>
        <v/>
      </c>
      <c r="AB204" s="75" t="s">
        <v>187</v>
      </c>
      <c r="AC204" s="75" t="s">
        <v>1240</v>
      </c>
      <c r="AD204" s="75" t="s">
        <v>5147</v>
      </c>
      <c r="AE204" s="75" t="s">
        <v>5148</v>
      </c>
      <c r="AF204" s="75" t="s">
        <v>5165</v>
      </c>
      <c r="AG204" s="75" t="s">
        <v>5173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9"/>
        <v/>
      </c>
      <c r="E205" s="85"/>
      <c r="F205" s="80" t="str">
        <f t="shared" si="40"/>
        <v/>
      </c>
      <c r="G205" s="118"/>
      <c r="H205" s="80" t="str">
        <f t="shared" si="41"/>
        <v/>
      </c>
      <c r="I205" s="80" t="str">
        <f t="shared" si="42"/>
        <v/>
      </c>
      <c r="J205" s="117"/>
      <c r="K205" s="117"/>
      <c r="L205" s="117"/>
      <c r="M205" s="84"/>
      <c r="O205" s="75" t="str">
        <f t="shared" si="43"/>
        <v/>
      </c>
      <c r="P205" s="75" t="str">
        <f t="shared" si="44"/>
        <v/>
      </c>
      <c r="Q205" s="75" t="str">
        <f t="shared" si="45"/>
        <v/>
      </c>
      <c r="R205" s="75" t="str">
        <f t="shared" si="38"/>
        <v/>
      </c>
      <c r="AB205" s="75" t="s">
        <v>193</v>
      </c>
      <c r="AC205" s="75" t="s">
        <v>1241</v>
      </c>
      <c r="AD205" s="75" t="s">
        <v>5147</v>
      </c>
      <c r="AE205" s="75" t="s">
        <v>5148</v>
      </c>
      <c r="AF205" s="75" t="s">
        <v>5165</v>
      </c>
      <c r="AG205" s="75" t="s">
        <v>5173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9"/>
        <v/>
      </c>
      <c r="E206" s="85"/>
      <c r="F206" s="80" t="str">
        <f t="shared" si="40"/>
        <v/>
      </c>
      <c r="G206" s="118"/>
      <c r="H206" s="80" t="str">
        <f t="shared" si="41"/>
        <v/>
      </c>
      <c r="I206" s="80" t="str">
        <f t="shared" si="42"/>
        <v/>
      </c>
      <c r="J206" s="117"/>
      <c r="K206" s="117"/>
      <c r="L206" s="117"/>
      <c r="M206" s="84"/>
      <c r="O206" s="75" t="str">
        <f t="shared" si="43"/>
        <v/>
      </c>
      <c r="P206" s="75" t="str">
        <f t="shared" si="44"/>
        <v/>
      </c>
      <c r="Q206" s="75" t="str">
        <f t="shared" si="45"/>
        <v/>
      </c>
      <c r="R206" s="75" t="str">
        <f t="shared" si="38"/>
        <v/>
      </c>
      <c r="AB206" s="75" t="s">
        <v>194</v>
      </c>
      <c r="AC206" s="75" t="s">
        <v>1242</v>
      </c>
      <c r="AD206" s="75" t="s">
        <v>5147</v>
      </c>
      <c r="AE206" s="75" t="s">
        <v>5148</v>
      </c>
      <c r="AF206" s="75" t="s">
        <v>5165</v>
      </c>
      <c r="AG206" s="75" t="s">
        <v>5173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9"/>
        <v/>
      </c>
      <c r="E207" s="85"/>
      <c r="F207" s="80" t="str">
        <f t="shared" si="40"/>
        <v/>
      </c>
      <c r="G207" s="118"/>
      <c r="H207" s="80" t="str">
        <f t="shared" si="41"/>
        <v/>
      </c>
      <c r="I207" s="80" t="str">
        <f t="shared" si="42"/>
        <v/>
      </c>
      <c r="J207" s="117"/>
      <c r="K207" s="117"/>
      <c r="L207" s="117"/>
      <c r="M207" s="84"/>
      <c r="O207" s="75" t="str">
        <f t="shared" si="43"/>
        <v/>
      </c>
      <c r="P207" s="75" t="str">
        <f t="shared" si="44"/>
        <v/>
      </c>
      <c r="Q207" s="75" t="str">
        <f t="shared" si="45"/>
        <v/>
      </c>
      <c r="R207" s="75" t="str">
        <f t="shared" si="38"/>
        <v/>
      </c>
      <c r="AB207" s="75" t="s">
        <v>1912</v>
      </c>
      <c r="AC207" s="75" t="s">
        <v>1913</v>
      </c>
      <c r="AD207" s="75" t="s">
        <v>5147</v>
      </c>
      <c r="AE207" s="75" t="s">
        <v>5148</v>
      </c>
      <c r="AF207" s="75" t="s">
        <v>5165</v>
      </c>
      <c r="AG207" s="75" t="s">
        <v>5173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9"/>
        <v/>
      </c>
      <c r="E208" s="85"/>
      <c r="F208" s="80" t="str">
        <f t="shared" si="40"/>
        <v/>
      </c>
      <c r="G208" s="118"/>
      <c r="H208" s="80" t="str">
        <f t="shared" si="41"/>
        <v/>
      </c>
      <c r="I208" s="80" t="str">
        <f t="shared" si="42"/>
        <v/>
      </c>
      <c r="J208" s="117"/>
      <c r="K208" s="117"/>
      <c r="L208" s="117"/>
      <c r="M208" s="84"/>
      <c r="O208" s="75" t="str">
        <f t="shared" si="43"/>
        <v/>
      </c>
      <c r="P208" s="75" t="str">
        <f t="shared" si="44"/>
        <v/>
      </c>
      <c r="Q208" s="75" t="str">
        <f t="shared" si="45"/>
        <v/>
      </c>
      <c r="R208" s="75" t="str">
        <f t="shared" si="38"/>
        <v/>
      </c>
      <c r="AB208" s="75" t="s">
        <v>670</v>
      </c>
      <c r="AC208" s="75" t="s">
        <v>671</v>
      </c>
      <c r="AD208" s="75" t="s">
        <v>5147</v>
      </c>
      <c r="AE208" s="75" t="s">
        <v>5148</v>
      </c>
      <c r="AF208" s="75" t="s">
        <v>5165</v>
      </c>
      <c r="AG208" s="75" t="s">
        <v>5173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9"/>
        <v/>
      </c>
      <c r="E209" s="85"/>
      <c r="F209" s="80" t="str">
        <f t="shared" si="40"/>
        <v/>
      </c>
      <c r="G209" s="118"/>
      <c r="H209" s="80" t="str">
        <f t="shared" si="41"/>
        <v/>
      </c>
      <c r="I209" s="80" t="str">
        <f t="shared" si="42"/>
        <v/>
      </c>
      <c r="J209" s="117"/>
      <c r="K209" s="117"/>
      <c r="L209" s="117"/>
      <c r="M209" s="84"/>
      <c r="O209" s="75" t="str">
        <f t="shared" si="43"/>
        <v/>
      </c>
      <c r="P209" s="75" t="str">
        <f t="shared" si="44"/>
        <v/>
      </c>
      <c r="Q209" s="75" t="str">
        <f t="shared" si="45"/>
        <v/>
      </c>
      <c r="R209" s="75" t="str">
        <f t="shared" ref="R209:R272" si="46">MID(I209,2,2)</f>
        <v/>
      </c>
      <c r="AB209" s="75" t="s">
        <v>1657</v>
      </c>
      <c r="AC209" s="75" t="s">
        <v>1914</v>
      </c>
      <c r="AD209" s="75" t="s">
        <v>5147</v>
      </c>
      <c r="AE209" s="75" t="s">
        <v>5148</v>
      </c>
      <c r="AF209" s="75" t="s">
        <v>5165</v>
      </c>
      <c r="AG209" s="75" t="s">
        <v>5173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9"/>
        <v/>
      </c>
      <c r="E210" s="85"/>
      <c r="F210" s="80" t="str">
        <f t="shared" si="40"/>
        <v/>
      </c>
      <c r="G210" s="118"/>
      <c r="H210" s="80" t="str">
        <f t="shared" si="41"/>
        <v/>
      </c>
      <c r="I210" s="80" t="str">
        <f t="shared" si="42"/>
        <v/>
      </c>
      <c r="J210" s="117"/>
      <c r="K210" s="117"/>
      <c r="L210" s="117"/>
      <c r="M210" s="84"/>
      <c r="O210" s="75" t="str">
        <f t="shared" si="43"/>
        <v/>
      </c>
      <c r="P210" s="75" t="str">
        <f t="shared" si="44"/>
        <v/>
      </c>
      <c r="Q210" s="75" t="str">
        <f t="shared" si="45"/>
        <v/>
      </c>
      <c r="R210" s="75" t="str">
        <f t="shared" si="46"/>
        <v/>
      </c>
      <c r="AB210" s="75" t="s">
        <v>1744</v>
      </c>
      <c r="AC210" s="75" t="s">
        <v>1915</v>
      </c>
      <c r="AD210" s="75" t="s">
        <v>5147</v>
      </c>
      <c r="AE210" s="75" t="s">
        <v>5148</v>
      </c>
      <c r="AF210" s="75" t="s">
        <v>5165</v>
      </c>
      <c r="AG210" s="75" t="s">
        <v>5173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9"/>
        <v/>
      </c>
      <c r="E211" s="85"/>
      <c r="F211" s="80" t="str">
        <f t="shared" si="40"/>
        <v/>
      </c>
      <c r="G211" s="118"/>
      <c r="H211" s="80" t="str">
        <f t="shared" si="41"/>
        <v/>
      </c>
      <c r="I211" s="80" t="str">
        <f t="shared" si="42"/>
        <v/>
      </c>
      <c r="J211" s="117"/>
      <c r="K211" s="117"/>
      <c r="L211" s="117"/>
      <c r="M211" s="84"/>
      <c r="O211" s="75" t="str">
        <f t="shared" si="43"/>
        <v/>
      </c>
      <c r="P211" s="75" t="str">
        <f t="shared" si="44"/>
        <v/>
      </c>
      <c r="Q211" s="75" t="str">
        <f t="shared" si="45"/>
        <v/>
      </c>
      <c r="R211" s="75" t="str">
        <f t="shared" si="46"/>
        <v/>
      </c>
      <c r="AB211" s="75" t="s">
        <v>1916</v>
      </c>
      <c r="AC211" s="75" t="s">
        <v>1917</v>
      </c>
      <c r="AD211" s="75" t="s">
        <v>5147</v>
      </c>
      <c r="AE211" s="75" t="s">
        <v>5148</v>
      </c>
      <c r="AF211" s="75" t="s">
        <v>5165</v>
      </c>
      <c r="AG211" s="75" t="s">
        <v>5173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9"/>
        <v/>
      </c>
      <c r="E212" s="85"/>
      <c r="F212" s="80" t="str">
        <f t="shared" si="40"/>
        <v/>
      </c>
      <c r="G212" s="118"/>
      <c r="H212" s="80" t="str">
        <f t="shared" si="41"/>
        <v/>
      </c>
      <c r="I212" s="80" t="str">
        <f t="shared" si="42"/>
        <v/>
      </c>
      <c r="J212" s="117"/>
      <c r="K212" s="117"/>
      <c r="L212" s="117"/>
      <c r="M212" s="84"/>
      <c r="O212" s="75" t="str">
        <f t="shared" si="43"/>
        <v/>
      </c>
      <c r="P212" s="75" t="str">
        <f t="shared" si="44"/>
        <v/>
      </c>
      <c r="Q212" s="75" t="str">
        <f t="shared" si="45"/>
        <v/>
      </c>
      <c r="R212" s="75" t="str">
        <f t="shared" si="46"/>
        <v/>
      </c>
      <c r="AB212" s="75" t="s">
        <v>1918</v>
      </c>
      <c r="AC212" s="75" t="s">
        <v>1919</v>
      </c>
      <c r="AD212" s="75" t="s">
        <v>5147</v>
      </c>
      <c r="AE212" s="75" t="s">
        <v>5148</v>
      </c>
      <c r="AF212" s="75" t="s">
        <v>5165</v>
      </c>
      <c r="AG212" s="75" t="s">
        <v>5173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9"/>
        <v/>
      </c>
      <c r="E213" s="85"/>
      <c r="F213" s="80" t="str">
        <f t="shared" si="40"/>
        <v/>
      </c>
      <c r="G213" s="118"/>
      <c r="H213" s="80" t="str">
        <f t="shared" si="41"/>
        <v/>
      </c>
      <c r="I213" s="80" t="str">
        <f t="shared" si="42"/>
        <v/>
      </c>
      <c r="J213" s="117"/>
      <c r="K213" s="117"/>
      <c r="L213" s="117"/>
      <c r="M213" s="84"/>
      <c r="O213" s="75" t="str">
        <f t="shared" si="43"/>
        <v/>
      </c>
      <c r="P213" s="75" t="str">
        <f t="shared" si="44"/>
        <v/>
      </c>
      <c r="Q213" s="75" t="str">
        <f t="shared" si="45"/>
        <v/>
      </c>
      <c r="R213" s="75" t="str">
        <f t="shared" si="46"/>
        <v/>
      </c>
      <c r="AB213" s="75" t="s">
        <v>3484</v>
      </c>
      <c r="AC213" s="75" t="s">
        <v>3485</v>
      </c>
      <c r="AD213" s="75" t="s">
        <v>5147</v>
      </c>
      <c r="AE213" s="75" t="s">
        <v>5148</v>
      </c>
      <c r="AF213" s="75" t="s">
        <v>5165</v>
      </c>
      <c r="AG213" s="75" t="s">
        <v>5173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9"/>
        <v/>
      </c>
      <c r="E214" s="85"/>
      <c r="F214" s="80" t="str">
        <f t="shared" si="40"/>
        <v/>
      </c>
      <c r="G214" s="118"/>
      <c r="H214" s="80" t="str">
        <f t="shared" si="41"/>
        <v/>
      </c>
      <c r="I214" s="80" t="str">
        <f t="shared" si="42"/>
        <v/>
      </c>
      <c r="J214" s="117"/>
      <c r="K214" s="117"/>
      <c r="L214" s="117"/>
      <c r="M214" s="84"/>
      <c r="O214" s="75" t="str">
        <f t="shared" si="43"/>
        <v/>
      </c>
      <c r="P214" s="75" t="str">
        <f t="shared" si="44"/>
        <v/>
      </c>
      <c r="Q214" s="75" t="str">
        <f t="shared" si="45"/>
        <v/>
      </c>
      <c r="R214" s="75" t="str">
        <f t="shared" si="46"/>
        <v/>
      </c>
      <c r="AB214" s="75" t="s">
        <v>676</v>
      </c>
      <c r="AC214" s="75" t="s">
        <v>677</v>
      </c>
      <c r="AD214" s="75" t="s">
        <v>5147</v>
      </c>
      <c r="AE214" s="75" t="s">
        <v>5148</v>
      </c>
      <c r="AF214" s="75" t="s">
        <v>5165</v>
      </c>
      <c r="AG214" s="75" t="s">
        <v>5173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9"/>
        <v/>
      </c>
      <c r="E215" s="85"/>
      <c r="F215" s="80" t="str">
        <f t="shared" si="40"/>
        <v/>
      </c>
      <c r="G215" s="118"/>
      <c r="H215" s="80" t="str">
        <f t="shared" si="41"/>
        <v/>
      </c>
      <c r="I215" s="80" t="str">
        <f t="shared" si="42"/>
        <v/>
      </c>
      <c r="J215" s="117"/>
      <c r="K215" s="117"/>
      <c r="L215" s="117"/>
      <c r="M215" s="84"/>
      <c r="O215" s="75" t="str">
        <f t="shared" si="43"/>
        <v/>
      </c>
      <c r="P215" s="75" t="str">
        <f t="shared" si="44"/>
        <v/>
      </c>
      <c r="Q215" s="75" t="str">
        <f t="shared" si="45"/>
        <v/>
      </c>
      <c r="R215" s="75" t="str">
        <f t="shared" si="46"/>
        <v/>
      </c>
      <c r="AB215" s="75" t="s">
        <v>233</v>
      </c>
      <c r="AC215" s="75" t="s">
        <v>1652</v>
      </c>
      <c r="AD215" s="75" t="s">
        <v>5147</v>
      </c>
      <c r="AE215" s="75" t="s">
        <v>5148</v>
      </c>
      <c r="AF215" s="75" t="s">
        <v>5165</v>
      </c>
      <c r="AG215" s="75" t="s">
        <v>5173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9"/>
        <v/>
      </c>
      <c r="E216" s="85"/>
      <c r="F216" s="80" t="str">
        <f t="shared" si="40"/>
        <v/>
      </c>
      <c r="G216" s="118"/>
      <c r="H216" s="80" t="str">
        <f t="shared" si="41"/>
        <v/>
      </c>
      <c r="I216" s="80" t="str">
        <f t="shared" si="42"/>
        <v/>
      </c>
      <c r="J216" s="117"/>
      <c r="K216" s="117"/>
      <c r="L216" s="117"/>
      <c r="M216" s="84"/>
      <c r="O216" s="75" t="str">
        <f t="shared" si="43"/>
        <v/>
      </c>
      <c r="P216" s="75" t="str">
        <f t="shared" si="44"/>
        <v/>
      </c>
      <c r="Q216" s="75" t="str">
        <f t="shared" si="45"/>
        <v/>
      </c>
      <c r="R216" s="75" t="str">
        <f t="shared" si="46"/>
        <v/>
      </c>
      <c r="AB216" s="75" t="s">
        <v>683</v>
      </c>
      <c r="AC216" s="75" t="s">
        <v>684</v>
      </c>
      <c r="AD216" s="75" t="s">
        <v>5147</v>
      </c>
      <c r="AE216" s="75" t="s">
        <v>5148</v>
      </c>
      <c r="AF216" s="75" t="s">
        <v>5165</v>
      </c>
      <c r="AG216" s="75" t="s">
        <v>5173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9"/>
        <v/>
      </c>
      <c r="E217" s="85"/>
      <c r="F217" s="80" t="str">
        <f t="shared" si="40"/>
        <v/>
      </c>
      <c r="G217" s="118"/>
      <c r="H217" s="80" t="str">
        <f t="shared" si="41"/>
        <v/>
      </c>
      <c r="I217" s="80" t="str">
        <f t="shared" si="42"/>
        <v/>
      </c>
      <c r="J217" s="117"/>
      <c r="K217" s="117"/>
      <c r="L217" s="117"/>
      <c r="M217" s="84"/>
      <c r="O217" s="75" t="str">
        <f t="shared" si="43"/>
        <v/>
      </c>
      <c r="P217" s="75" t="str">
        <f t="shared" si="44"/>
        <v/>
      </c>
      <c r="Q217" s="75" t="str">
        <f t="shared" si="45"/>
        <v/>
      </c>
      <c r="R217" s="75" t="str">
        <f t="shared" si="46"/>
        <v/>
      </c>
      <c r="AB217" s="75" t="s">
        <v>1998</v>
      </c>
      <c r="AC217" s="75" t="s">
        <v>1992</v>
      </c>
      <c r="AD217" s="75" t="s">
        <v>5147</v>
      </c>
      <c r="AE217" s="75" t="s">
        <v>5148</v>
      </c>
      <c r="AF217" s="75" t="s">
        <v>5165</v>
      </c>
      <c r="AG217" s="75" t="s">
        <v>5173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9"/>
        <v/>
      </c>
      <c r="E218" s="85"/>
      <c r="F218" s="80" t="str">
        <f t="shared" si="40"/>
        <v/>
      </c>
      <c r="G218" s="118"/>
      <c r="H218" s="80" t="str">
        <f t="shared" si="41"/>
        <v/>
      </c>
      <c r="I218" s="80" t="str">
        <f t="shared" si="42"/>
        <v/>
      </c>
      <c r="J218" s="117"/>
      <c r="K218" s="117"/>
      <c r="L218" s="117"/>
      <c r="M218" s="84"/>
      <c r="O218" s="75" t="str">
        <f t="shared" si="43"/>
        <v/>
      </c>
      <c r="P218" s="75" t="str">
        <f t="shared" si="44"/>
        <v/>
      </c>
      <c r="Q218" s="75" t="str">
        <f t="shared" si="45"/>
        <v/>
      </c>
      <c r="R218" s="75" t="str">
        <f t="shared" si="46"/>
        <v/>
      </c>
      <c r="AB218" s="75" t="s">
        <v>1999</v>
      </c>
      <c r="AC218" s="75" t="s">
        <v>3473</v>
      </c>
      <c r="AD218" s="75" t="s">
        <v>5147</v>
      </c>
      <c r="AE218" s="75" t="s">
        <v>5148</v>
      </c>
      <c r="AF218" s="75" t="s">
        <v>5165</v>
      </c>
      <c r="AG218" s="75" t="s">
        <v>5173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9"/>
        <v/>
      </c>
      <c r="E219" s="85"/>
      <c r="F219" s="80" t="str">
        <f t="shared" si="40"/>
        <v/>
      </c>
      <c r="G219" s="118"/>
      <c r="H219" s="80" t="str">
        <f t="shared" si="41"/>
        <v/>
      </c>
      <c r="I219" s="80" t="str">
        <f t="shared" si="42"/>
        <v/>
      </c>
      <c r="J219" s="117"/>
      <c r="K219" s="117"/>
      <c r="L219" s="117"/>
      <c r="M219" s="84"/>
      <c r="O219" s="75" t="str">
        <f t="shared" si="43"/>
        <v/>
      </c>
      <c r="P219" s="75" t="str">
        <f t="shared" si="44"/>
        <v/>
      </c>
      <c r="Q219" s="75" t="str">
        <f t="shared" si="45"/>
        <v/>
      </c>
      <c r="R219" s="75" t="str">
        <f t="shared" si="46"/>
        <v/>
      </c>
      <c r="AB219" s="75" t="s">
        <v>3486</v>
      </c>
      <c r="AC219" s="75" t="s">
        <v>3487</v>
      </c>
      <c r="AD219" s="75" t="s">
        <v>5147</v>
      </c>
      <c r="AE219" s="75" t="s">
        <v>5148</v>
      </c>
      <c r="AF219" s="75" t="s">
        <v>5165</v>
      </c>
      <c r="AG219" s="75" t="s">
        <v>5173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9"/>
        <v/>
      </c>
      <c r="E220" s="85"/>
      <c r="F220" s="80" t="str">
        <f t="shared" si="40"/>
        <v/>
      </c>
      <c r="G220" s="118"/>
      <c r="H220" s="80" t="str">
        <f t="shared" si="41"/>
        <v/>
      </c>
      <c r="I220" s="80" t="str">
        <f t="shared" si="42"/>
        <v/>
      </c>
      <c r="J220" s="117"/>
      <c r="K220" s="117"/>
      <c r="L220" s="117"/>
      <c r="M220" s="84"/>
      <c r="O220" s="75" t="str">
        <f t="shared" si="43"/>
        <v/>
      </c>
      <c r="P220" s="75" t="str">
        <f t="shared" si="44"/>
        <v/>
      </c>
      <c r="Q220" s="75" t="str">
        <f t="shared" si="45"/>
        <v/>
      </c>
      <c r="R220" s="75" t="str">
        <f t="shared" si="46"/>
        <v/>
      </c>
      <c r="AB220" s="75" t="s">
        <v>687</v>
      </c>
      <c r="AC220" s="75" t="s">
        <v>688</v>
      </c>
      <c r="AD220" s="75" t="s">
        <v>5141</v>
      </c>
      <c r="AE220" s="75" t="s">
        <v>5142</v>
      </c>
      <c r="AF220" s="75" t="s">
        <v>5167</v>
      </c>
      <c r="AG220" s="75" t="s">
        <v>5168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9"/>
        <v/>
      </c>
      <c r="E221" s="85"/>
      <c r="F221" s="80" t="str">
        <f t="shared" si="40"/>
        <v/>
      </c>
      <c r="G221" s="118"/>
      <c r="H221" s="80" t="str">
        <f t="shared" si="41"/>
        <v/>
      </c>
      <c r="I221" s="80" t="str">
        <f t="shared" si="42"/>
        <v/>
      </c>
      <c r="J221" s="117"/>
      <c r="K221" s="117"/>
      <c r="L221" s="117"/>
      <c r="M221" s="84"/>
      <c r="O221" s="75" t="str">
        <f t="shared" si="43"/>
        <v/>
      </c>
      <c r="P221" s="75" t="str">
        <f t="shared" si="44"/>
        <v/>
      </c>
      <c r="Q221" s="75" t="str">
        <f t="shared" si="45"/>
        <v/>
      </c>
      <c r="R221" s="75" t="str">
        <f t="shared" si="46"/>
        <v/>
      </c>
      <c r="AB221" s="75" t="s">
        <v>689</v>
      </c>
      <c r="AC221" s="75" t="s">
        <v>690</v>
      </c>
      <c r="AD221" s="75" t="s">
        <v>5141</v>
      </c>
      <c r="AE221" s="75" t="s">
        <v>5142</v>
      </c>
      <c r="AF221" s="75" t="s">
        <v>5167</v>
      </c>
      <c r="AG221" s="75" t="s">
        <v>5168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9"/>
        <v/>
      </c>
      <c r="E222" s="85"/>
      <c r="F222" s="80" t="str">
        <f t="shared" si="40"/>
        <v/>
      </c>
      <c r="G222" s="118"/>
      <c r="H222" s="80" t="str">
        <f t="shared" si="41"/>
        <v/>
      </c>
      <c r="I222" s="80" t="str">
        <f t="shared" si="42"/>
        <v/>
      </c>
      <c r="J222" s="117"/>
      <c r="K222" s="117"/>
      <c r="L222" s="117"/>
      <c r="M222" s="84"/>
      <c r="O222" s="75" t="str">
        <f t="shared" si="43"/>
        <v/>
      </c>
      <c r="P222" s="75" t="str">
        <f t="shared" si="44"/>
        <v/>
      </c>
      <c r="Q222" s="75" t="str">
        <f t="shared" si="45"/>
        <v/>
      </c>
      <c r="R222" s="75" t="str">
        <f t="shared" si="46"/>
        <v/>
      </c>
      <c r="AB222" s="75" t="s">
        <v>937</v>
      </c>
      <c r="AC222" s="75" t="s">
        <v>938</v>
      </c>
      <c r="AD222" s="75" t="s">
        <v>5141</v>
      </c>
      <c r="AE222" s="75" t="s">
        <v>5142</v>
      </c>
      <c r="AF222" s="75" t="s">
        <v>5167</v>
      </c>
      <c r="AG222" s="75" t="s">
        <v>5168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9"/>
        <v/>
      </c>
      <c r="E223" s="85"/>
      <c r="F223" s="80" t="str">
        <f t="shared" si="40"/>
        <v/>
      </c>
      <c r="G223" s="118"/>
      <c r="H223" s="80" t="str">
        <f t="shared" si="41"/>
        <v/>
      </c>
      <c r="I223" s="80" t="str">
        <f t="shared" si="42"/>
        <v/>
      </c>
      <c r="J223" s="117"/>
      <c r="K223" s="117"/>
      <c r="L223" s="117"/>
      <c r="M223" s="84"/>
      <c r="O223" s="75" t="str">
        <f t="shared" si="43"/>
        <v/>
      </c>
      <c r="P223" s="75" t="str">
        <f t="shared" si="44"/>
        <v/>
      </c>
      <c r="Q223" s="75" t="str">
        <f t="shared" si="45"/>
        <v/>
      </c>
      <c r="R223" s="75" t="str">
        <f t="shared" si="46"/>
        <v/>
      </c>
      <c r="AB223" s="75" t="s">
        <v>691</v>
      </c>
      <c r="AC223" s="75" t="s">
        <v>692</v>
      </c>
      <c r="AD223" s="75" t="s">
        <v>5141</v>
      </c>
      <c r="AE223" s="75" t="s">
        <v>5142</v>
      </c>
      <c r="AF223" s="75" t="s">
        <v>5167</v>
      </c>
      <c r="AG223" s="75" t="s">
        <v>5168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9"/>
        <v/>
      </c>
      <c r="E224" s="85"/>
      <c r="F224" s="80" t="str">
        <f t="shared" si="40"/>
        <v/>
      </c>
      <c r="G224" s="118"/>
      <c r="H224" s="80" t="str">
        <f t="shared" si="41"/>
        <v/>
      </c>
      <c r="I224" s="80" t="str">
        <f t="shared" si="42"/>
        <v/>
      </c>
      <c r="J224" s="117"/>
      <c r="K224" s="117"/>
      <c r="L224" s="117"/>
      <c r="M224" s="84"/>
      <c r="O224" s="75" t="str">
        <f t="shared" si="43"/>
        <v/>
      </c>
      <c r="P224" s="75" t="str">
        <f t="shared" si="44"/>
        <v/>
      </c>
      <c r="Q224" s="75" t="str">
        <f t="shared" si="45"/>
        <v/>
      </c>
      <c r="R224" s="75" t="str">
        <f t="shared" si="46"/>
        <v/>
      </c>
      <c r="AB224" s="75" t="s">
        <v>939</v>
      </c>
      <c r="AC224" s="75" t="s">
        <v>933</v>
      </c>
      <c r="AD224" s="75" t="s">
        <v>5141</v>
      </c>
      <c r="AE224" s="75" t="s">
        <v>5142</v>
      </c>
      <c r="AF224" s="75" t="s">
        <v>5167</v>
      </c>
      <c r="AG224" s="75" t="s">
        <v>5168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9"/>
        <v/>
      </c>
      <c r="E225" s="85"/>
      <c r="F225" s="80" t="str">
        <f t="shared" si="40"/>
        <v/>
      </c>
      <c r="G225" s="118"/>
      <c r="H225" s="80" t="str">
        <f t="shared" si="41"/>
        <v/>
      </c>
      <c r="I225" s="80" t="str">
        <f t="shared" si="42"/>
        <v/>
      </c>
      <c r="J225" s="117"/>
      <c r="K225" s="117"/>
      <c r="L225" s="117"/>
      <c r="M225" s="84"/>
      <c r="O225" s="75" t="str">
        <f t="shared" si="43"/>
        <v/>
      </c>
      <c r="P225" s="75" t="str">
        <f t="shared" si="44"/>
        <v/>
      </c>
      <c r="Q225" s="75" t="str">
        <f t="shared" si="45"/>
        <v/>
      </c>
      <c r="R225" s="75" t="str">
        <f t="shared" si="46"/>
        <v/>
      </c>
      <c r="AB225" s="75" t="s">
        <v>693</v>
      </c>
      <c r="AC225" s="75" t="s">
        <v>1743</v>
      </c>
      <c r="AD225" s="75" t="s">
        <v>5141</v>
      </c>
      <c r="AE225" s="75" t="s">
        <v>5142</v>
      </c>
      <c r="AF225" s="75" t="s">
        <v>5167</v>
      </c>
      <c r="AG225" s="75" t="s">
        <v>5168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9"/>
        <v/>
      </c>
      <c r="E226" s="85"/>
      <c r="F226" s="80" t="str">
        <f t="shared" si="40"/>
        <v/>
      </c>
      <c r="G226" s="118"/>
      <c r="H226" s="80" t="str">
        <f t="shared" si="41"/>
        <v/>
      </c>
      <c r="I226" s="80" t="str">
        <f t="shared" si="42"/>
        <v/>
      </c>
      <c r="J226" s="117"/>
      <c r="K226" s="117"/>
      <c r="L226" s="117"/>
      <c r="M226" s="84"/>
      <c r="O226" s="75" t="str">
        <f t="shared" si="43"/>
        <v/>
      </c>
      <c r="P226" s="75" t="str">
        <f t="shared" si="44"/>
        <v/>
      </c>
      <c r="Q226" s="75" t="str">
        <f t="shared" si="45"/>
        <v/>
      </c>
      <c r="R226" s="75" t="str">
        <f t="shared" si="46"/>
        <v/>
      </c>
      <c r="AB226" s="75" t="s">
        <v>694</v>
      </c>
      <c r="AC226" s="75" t="s">
        <v>1243</v>
      </c>
      <c r="AD226" s="75" t="s">
        <v>5141</v>
      </c>
      <c r="AE226" s="75" t="s">
        <v>5142</v>
      </c>
      <c r="AF226" s="75" t="s">
        <v>5167</v>
      </c>
      <c r="AG226" s="75" t="s">
        <v>5168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9"/>
        <v/>
      </c>
      <c r="E227" s="85"/>
      <c r="F227" s="80" t="str">
        <f t="shared" si="40"/>
        <v/>
      </c>
      <c r="G227" s="118"/>
      <c r="H227" s="80" t="str">
        <f t="shared" si="41"/>
        <v/>
      </c>
      <c r="I227" s="80" t="str">
        <f t="shared" si="42"/>
        <v/>
      </c>
      <c r="J227" s="117"/>
      <c r="K227" s="117"/>
      <c r="L227" s="117"/>
      <c r="M227" s="84"/>
      <c r="O227" s="75" t="str">
        <f t="shared" si="43"/>
        <v/>
      </c>
      <c r="P227" s="75" t="str">
        <f t="shared" si="44"/>
        <v/>
      </c>
      <c r="Q227" s="75" t="str">
        <f t="shared" si="45"/>
        <v/>
      </c>
      <c r="R227" s="75" t="str">
        <f t="shared" si="46"/>
        <v/>
      </c>
      <c r="AB227" s="75" t="s">
        <v>695</v>
      </c>
      <c r="AC227" s="75" t="s">
        <v>696</v>
      </c>
      <c r="AD227" s="75" t="s">
        <v>5141</v>
      </c>
      <c r="AE227" s="75" t="s">
        <v>5142</v>
      </c>
      <c r="AF227" s="75" t="s">
        <v>5167</v>
      </c>
      <c r="AG227" s="75" t="s">
        <v>5168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9"/>
        <v/>
      </c>
      <c r="E228" s="85"/>
      <c r="F228" s="80" t="str">
        <f t="shared" si="40"/>
        <v/>
      </c>
      <c r="G228" s="118"/>
      <c r="H228" s="80" t="str">
        <f t="shared" si="41"/>
        <v/>
      </c>
      <c r="I228" s="80" t="str">
        <f t="shared" si="42"/>
        <v/>
      </c>
      <c r="J228" s="117"/>
      <c r="K228" s="117"/>
      <c r="L228" s="117"/>
      <c r="M228" s="84"/>
      <c r="O228" s="75" t="str">
        <f t="shared" si="43"/>
        <v/>
      </c>
      <c r="P228" s="75" t="str">
        <f t="shared" si="44"/>
        <v/>
      </c>
      <c r="Q228" s="75" t="str">
        <f t="shared" si="45"/>
        <v/>
      </c>
      <c r="R228" s="75" t="str">
        <f t="shared" si="46"/>
        <v/>
      </c>
      <c r="AB228" s="75" t="s">
        <v>697</v>
      </c>
      <c r="AC228" s="75" t="s">
        <v>682</v>
      </c>
      <c r="AD228" s="75" t="s">
        <v>5141</v>
      </c>
      <c r="AE228" s="75" t="s">
        <v>5142</v>
      </c>
      <c r="AF228" s="75" t="s">
        <v>5167</v>
      </c>
      <c r="AG228" s="75" t="s">
        <v>5168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9"/>
        <v/>
      </c>
      <c r="E229" s="85"/>
      <c r="F229" s="80" t="str">
        <f t="shared" si="40"/>
        <v/>
      </c>
      <c r="G229" s="118"/>
      <c r="H229" s="80" t="str">
        <f t="shared" si="41"/>
        <v/>
      </c>
      <c r="I229" s="80" t="str">
        <f t="shared" si="42"/>
        <v/>
      </c>
      <c r="J229" s="117"/>
      <c r="K229" s="117"/>
      <c r="L229" s="117"/>
      <c r="M229" s="84"/>
      <c r="O229" s="75" t="str">
        <f t="shared" si="43"/>
        <v/>
      </c>
      <c r="P229" s="75" t="str">
        <f t="shared" si="44"/>
        <v/>
      </c>
      <c r="Q229" s="75" t="str">
        <f t="shared" si="45"/>
        <v/>
      </c>
      <c r="R229" s="75" t="str">
        <f t="shared" si="46"/>
        <v/>
      </c>
      <c r="AB229" s="75" t="s">
        <v>1991</v>
      </c>
      <c r="AC229" s="75" t="s">
        <v>1992</v>
      </c>
      <c r="AD229" s="75" t="s">
        <v>5141</v>
      </c>
      <c r="AE229" s="75" t="s">
        <v>5142</v>
      </c>
      <c r="AF229" s="75" t="s">
        <v>5167</v>
      </c>
      <c r="AG229" s="75" t="s">
        <v>5168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9"/>
        <v/>
      </c>
      <c r="E230" s="85"/>
      <c r="F230" s="80" t="str">
        <f t="shared" si="40"/>
        <v/>
      </c>
      <c r="G230" s="118"/>
      <c r="H230" s="80" t="str">
        <f t="shared" si="41"/>
        <v/>
      </c>
      <c r="I230" s="80" t="str">
        <f t="shared" si="42"/>
        <v/>
      </c>
      <c r="J230" s="117"/>
      <c r="K230" s="117"/>
      <c r="L230" s="117"/>
      <c r="M230" s="84"/>
      <c r="O230" s="75" t="str">
        <f t="shared" si="43"/>
        <v/>
      </c>
      <c r="P230" s="75" t="str">
        <f t="shared" si="44"/>
        <v/>
      </c>
      <c r="Q230" s="75" t="str">
        <f t="shared" si="45"/>
        <v/>
      </c>
      <c r="R230" s="75" t="str">
        <f t="shared" si="46"/>
        <v/>
      </c>
      <c r="AB230" s="75" t="s">
        <v>1993</v>
      </c>
      <c r="AC230" s="75" t="s">
        <v>3473</v>
      </c>
      <c r="AD230" s="75" t="s">
        <v>5141</v>
      </c>
      <c r="AE230" s="75" t="s">
        <v>5142</v>
      </c>
      <c r="AF230" s="75" t="s">
        <v>5167</v>
      </c>
      <c r="AG230" s="75" t="s">
        <v>5168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9"/>
        <v/>
      </c>
      <c r="E231" s="85"/>
      <c r="F231" s="80" t="str">
        <f t="shared" si="40"/>
        <v/>
      </c>
      <c r="G231" s="118"/>
      <c r="H231" s="80" t="str">
        <f t="shared" si="41"/>
        <v/>
      </c>
      <c r="I231" s="80" t="str">
        <f t="shared" si="42"/>
        <v/>
      </c>
      <c r="J231" s="117"/>
      <c r="K231" s="117"/>
      <c r="L231" s="117"/>
      <c r="M231" s="84"/>
      <c r="O231" s="75" t="str">
        <f t="shared" si="43"/>
        <v/>
      </c>
      <c r="P231" s="75" t="str">
        <f t="shared" si="44"/>
        <v/>
      </c>
      <c r="Q231" s="75" t="str">
        <f t="shared" si="45"/>
        <v/>
      </c>
      <c r="R231" s="75" t="str">
        <f t="shared" si="46"/>
        <v/>
      </c>
      <c r="AB231" s="75" t="s">
        <v>3488</v>
      </c>
      <c r="AC231" s="75" t="s">
        <v>3489</v>
      </c>
      <c r="AD231" s="75" t="s">
        <v>5141</v>
      </c>
      <c r="AE231" s="75" t="s">
        <v>5142</v>
      </c>
      <c r="AF231" s="75" t="s">
        <v>5167</v>
      </c>
      <c r="AG231" s="75" t="s">
        <v>5168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9"/>
        <v/>
      </c>
      <c r="E232" s="85"/>
      <c r="F232" s="80" t="str">
        <f t="shared" si="40"/>
        <v/>
      </c>
      <c r="G232" s="118"/>
      <c r="H232" s="80" t="str">
        <f t="shared" si="41"/>
        <v/>
      </c>
      <c r="I232" s="80" t="str">
        <f t="shared" si="42"/>
        <v/>
      </c>
      <c r="J232" s="117"/>
      <c r="K232" s="117"/>
      <c r="L232" s="117"/>
      <c r="M232" s="84"/>
      <c r="O232" s="75" t="str">
        <f t="shared" si="43"/>
        <v/>
      </c>
      <c r="P232" s="75" t="str">
        <f t="shared" si="44"/>
        <v/>
      </c>
      <c r="Q232" s="75" t="str">
        <f t="shared" si="45"/>
        <v/>
      </c>
      <c r="R232" s="75" t="str">
        <f t="shared" si="46"/>
        <v/>
      </c>
      <c r="AB232" s="75" t="s">
        <v>966</v>
      </c>
      <c r="AC232" s="75" t="s">
        <v>967</v>
      </c>
      <c r="AD232" s="75" t="s">
        <v>5141</v>
      </c>
      <c r="AE232" s="75" t="s">
        <v>5142</v>
      </c>
      <c r="AF232" s="75" t="s">
        <v>5167</v>
      </c>
      <c r="AG232" s="75" t="s">
        <v>5168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9"/>
        <v/>
      </c>
      <c r="E233" s="85"/>
      <c r="F233" s="80" t="str">
        <f t="shared" si="40"/>
        <v/>
      </c>
      <c r="G233" s="118"/>
      <c r="H233" s="80" t="str">
        <f t="shared" si="41"/>
        <v/>
      </c>
      <c r="I233" s="80" t="str">
        <f t="shared" si="42"/>
        <v/>
      </c>
      <c r="J233" s="117"/>
      <c r="K233" s="117"/>
      <c r="L233" s="117"/>
      <c r="M233" s="84"/>
      <c r="O233" s="75" t="str">
        <f t="shared" si="43"/>
        <v/>
      </c>
      <c r="P233" s="75" t="str">
        <f t="shared" si="44"/>
        <v/>
      </c>
      <c r="Q233" s="75" t="str">
        <f t="shared" si="45"/>
        <v/>
      </c>
      <c r="R233" s="75" t="str">
        <f t="shared" si="46"/>
        <v/>
      </c>
      <c r="AB233" s="75" t="s">
        <v>968</v>
      </c>
      <c r="AC233" s="75" t="s">
        <v>3490</v>
      </c>
      <c r="AD233" s="75" t="s">
        <v>5141</v>
      </c>
      <c r="AE233" s="75" t="s">
        <v>5142</v>
      </c>
      <c r="AF233" s="75" t="s">
        <v>5167</v>
      </c>
      <c r="AG233" s="75" t="s">
        <v>5168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9"/>
        <v/>
      </c>
      <c r="E234" s="85"/>
      <c r="F234" s="80" t="str">
        <f t="shared" si="40"/>
        <v/>
      </c>
      <c r="G234" s="118"/>
      <c r="H234" s="80" t="str">
        <f t="shared" si="41"/>
        <v/>
      </c>
      <c r="I234" s="80" t="str">
        <f t="shared" si="42"/>
        <v/>
      </c>
      <c r="J234" s="117"/>
      <c r="K234" s="117"/>
      <c r="L234" s="117"/>
      <c r="M234" s="84"/>
      <c r="O234" s="75" t="str">
        <f t="shared" si="43"/>
        <v/>
      </c>
      <c r="P234" s="75" t="str">
        <f t="shared" si="44"/>
        <v/>
      </c>
      <c r="Q234" s="75" t="str">
        <f t="shared" si="45"/>
        <v/>
      </c>
      <c r="R234" s="75" t="str">
        <f t="shared" si="46"/>
        <v/>
      </c>
      <c r="AB234" s="75" t="s">
        <v>971</v>
      </c>
      <c r="AC234" s="75" t="s">
        <v>972</v>
      </c>
      <c r="AD234" s="75" t="s">
        <v>5149</v>
      </c>
      <c r="AE234" s="75" t="s">
        <v>5150</v>
      </c>
      <c r="AF234" s="75" t="s">
        <v>5166</v>
      </c>
      <c r="AG234" s="75" t="s">
        <v>5171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9"/>
        <v/>
      </c>
      <c r="E235" s="85"/>
      <c r="F235" s="80" t="str">
        <f t="shared" si="40"/>
        <v/>
      </c>
      <c r="G235" s="118"/>
      <c r="H235" s="80" t="str">
        <f t="shared" si="41"/>
        <v/>
      </c>
      <c r="I235" s="80" t="str">
        <f t="shared" si="42"/>
        <v/>
      </c>
      <c r="J235" s="117"/>
      <c r="K235" s="117"/>
      <c r="L235" s="117"/>
      <c r="M235" s="84"/>
      <c r="O235" s="75" t="str">
        <f t="shared" si="43"/>
        <v/>
      </c>
      <c r="P235" s="75" t="str">
        <f t="shared" si="44"/>
        <v/>
      </c>
      <c r="Q235" s="75" t="str">
        <f t="shared" si="45"/>
        <v/>
      </c>
      <c r="R235" s="75" t="str">
        <f t="shared" si="46"/>
        <v/>
      </c>
      <c r="AB235" s="75" t="s">
        <v>973</v>
      </c>
      <c r="AC235" s="75" t="s">
        <v>974</v>
      </c>
      <c r="AD235" s="75" t="s">
        <v>5149</v>
      </c>
      <c r="AE235" s="75" t="s">
        <v>5150</v>
      </c>
      <c r="AF235" s="75" t="s">
        <v>5166</v>
      </c>
      <c r="AG235" s="75" t="s">
        <v>5171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9"/>
        <v/>
      </c>
      <c r="E236" s="85"/>
      <c r="F236" s="80" t="str">
        <f t="shared" si="40"/>
        <v/>
      </c>
      <c r="G236" s="118"/>
      <c r="H236" s="80" t="str">
        <f t="shared" si="41"/>
        <v/>
      </c>
      <c r="I236" s="80" t="str">
        <f t="shared" si="42"/>
        <v/>
      </c>
      <c r="J236" s="117"/>
      <c r="K236" s="117"/>
      <c r="L236" s="117"/>
      <c r="M236" s="84"/>
      <c r="O236" s="75" t="str">
        <f t="shared" si="43"/>
        <v/>
      </c>
      <c r="P236" s="75" t="str">
        <f t="shared" si="44"/>
        <v/>
      </c>
      <c r="Q236" s="75" t="str">
        <f t="shared" si="45"/>
        <v/>
      </c>
      <c r="R236" s="75" t="str">
        <f t="shared" si="46"/>
        <v/>
      </c>
      <c r="AB236" s="75" t="s">
        <v>975</v>
      </c>
      <c r="AC236" s="75" t="s">
        <v>1244</v>
      </c>
      <c r="AD236" s="75" t="s">
        <v>5149</v>
      </c>
      <c r="AE236" s="75" t="s">
        <v>5150</v>
      </c>
      <c r="AF236" s="75" t="s">
        <v>5166</v>
      </c>
      <c r="AG236" s="75" t="s">
        <v>5171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9"/>
        <v/>
      </c>
      <c r="E237" s="85"/>
      <c r="F237" s="80" t="str">
        <f t="shared" si="40"/>
        <v/>
      </c>
      <c r="G237" s="118"/>
      <c r="H237" s="80" t="str">
        <f t="shared" si="41"/>
        <v/>
      </c>
      <c r="I237" s="80" t="str">
        <f t="shared" si="42"/>
        <v/>
      </c>
      <c r="J237" s="117"/>
      <c r="K237" s="117"/>
      <c r="L237" s="117"/>
      <c r="M237" s="84"/>
      <c r="O237" s="75" t="str">
        <f t="shared" si="43"/>
        <v/>
      </c>
      <c r="P237" s="75" t="str">
        <f t="shared" si="44"/>
        <v/>
      </c>
      <c r="Q237" s="75" t="str">
        <f t="shared" si="45"/>
        <v/>
      </c>
      <c r="R237" s="75" t="str">
        <f t="shared" si="46"/>
        <v/>
      </c>
      <c r="AB237" s="75" t="s">
        <v>976</v>
      </c>
      <c r="AC237" s="75" t="s">
        <v>977</v>
      </c>
      <c r="AD237" s="75" t="s">
        <v>5149</v>
      </c>
      <c r="AE237" s="75" t="s">
        <v>5150</v>
      </c>
      <c r="AF237" s="75" t="s">
        <v>5166</v>
      </c>
      <c r="AG237" s="75" t="s">
        <v>5171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9"/>
        <v/>
      </c>
      <c r="E238" s="85"/>
      <c r="F238" s="80" t="str">
        <f t="shared" si="40"/>
        <v/>
      </c>
      <c r="G238" s="118"/>
      <c r="H238" s="80" t="str">
        <f t="shared" si="41"/>
        <v/>
      </c>
      <c r="I238" s="80" t="str">
        <f t="shared" si="42"/>
        <v/>
      </c>
      <c r="J238" s="117"/>
      <c r="K238" s="117"/>
      <c r="L238" s="117"/>
      <c r="M238" s="84"/>
      <c r="O238" s="75" t="str">
        <f t="shared" si="43"/>
        <v/>
      </c>
      <c r="P238" s="75" t="str">
        <f t="shared" si="44"/>
        <v/>
      </c>
      <c r="Q238" s="75" t="str">
        <f t="shared" si="45"/>
        <v/>
      </c>
      <c r="R238" s="75" t="str">
        <f t="shared" si="46"/>
        <v/>
      </c>
      <c r="AB238" s="75" t="s">
        <v>980</v>
      </c>
      <c r="AC238" s="75" t="s">
        <v>981</v>
      </c>
      <c r="AD238" s="75" t="s">
        <v>5161</v>
      </c>
      <c r="AE238" s="75" t="s">
        <v>5162</v>
      </c>
      <c r="AF238" s="75" t="s">
        <v>5167</v>
      </c>
      <c r="AG238" s="75" t="s">
        <v>5179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9"/>
        <v/>
      </c>
      <c r="E239" s="85"/>
      <c r="F239" s="80" t="str">
        <f t="shared" si="40"/>
        <v/>
      </c>
      <c r="G239" s="118"/>
      <c r="H239" s="80" t="str">
        <f t="shared" si="41"/>
        <v/>
      </c>
      <c r="I239" s="80" t="str">
        <f t="shared" si="42"/>
        <v/>
      </c>
      <c r="J239" s="117"/>
      <c r="K239" s="117"/>
      <c r="L239" s="117"/>
      <c r="M239" s="84"/>
      <c r="O239" s="75" t="str">
        <f t="shared" si="43"/>
        <v/>
      </c>
      <c r="P239" s="75" t="str">
        <f t="shared" si="44"/>
        <v/>
      </c>
      <c r="Q239" s="75" t="str">
        <f t="shared" si="45"/>
        <v/>
      </c>
      <c r="R239" s="75" t="str">
        <f t="shared" si="46"/>
        <v/>
      </c>
      <c r="AB239" s="75" t="s">
        <v>982</v>
      </c>
      <c r="AC239" s="75" t="s">
        <v>983</v>
      </c>
      <c r="AD239" s="75" t="s">
        <v>5161</v>
      </c>
      <c r="AE239" s="75" t="s">
        <v>5162</v>
      </c>
      <c r="AF239" s="75" t="s">
        <v>5167</v>
      </c>
      <c r="AG239" s="75" t="s">
        <v>5179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9"/>
        <v/>
      </c>
      <c r="E240" s="85"/>
      <c r="F240" s="80" t="str">
        <f t="shared" si="40"/>
        <v/>
      </c>
      <c r="G240" s="118"/>
      <c r="H240" s="80" t="str">
        <f t="shared" si="41"/>
        <v/>
      </c>
      <c r="I240" s="80" t="str">
        <f t="shared" si="42"/>
        <v/>
      </c>
      <c r="J240" s="117"/>
      <c r="K240" s="117"/>
      <c r="L240" s="117"/>
      <c r="M240" s="84"/>
      <c r="O240" s="75" t="str">
        <f t="shared" si="43"/>
        <v/>
      </c>
      <c r="P240" s="75" t="str">
        <f t="shared" si="44"/>
        <v/>
      </c>
      <c r="Q240" s="75" t="str">
        <f t="shared" si="45"/>
        <v/>
      </c>
      <c r="R240" s="75" t="str">
        <f t="shared" si="46"/>
        <v/>
      </c>
      <c r="AB240" s="75" t="s">
        <v>984</v>
      </c>
      <c r="AC240" s="75" t="s">
        <v>985</v>
      </c>
      <c r="AD240" s="75" t="s">
        <v>5163</v>
      </c>
      <c r="AE240" s="75" t="s">
        <v>5164</v>
      </c>
      <c r="AF240" s="75" t="s">
        <v>5169</v>
      </c>
      <c r="AG240" s="75" t="s">
        <v>5170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9"/>
        <v/>
      </c>
      <c r="E241" s="85"/>
      <c r="F241" s="80" t="str">
        <f t="shared" si="40"/>
        <v/>
      </c>
      <c r="G241" s="118"/>
      <c r="H241" s="80" t="str">
        <f t="shared" si="41"/>
        <v/>
      </c>
      <c r="I241" s="80" t="str">
        <f t="shared" si="42"/>
        <v/>
      </c>
      <c r="J241" s="117"/>
      <c r="K241" s="117"/>
      <c r="L241" s="117"/>
      <c r="M241" s="84"/>
      <c r="O241" s="75" t="str">
        <f t="shared" si="43"/>
        <v/>
      </c>
      <c r="P241" s="75" t="str">
        <f t="shared" si="44"/>
        <v/>
      </c>
      <c r="Q241" s="75" t="str">
        <f t="shared" si="45"/>
        <v/>
      </c>
      <c r="R241" s="75" t="str">
        <f t="shared" si="46"/>
        <v/>
      </c>
      <c r="AB241" s="75" t="s">
        <v>986</v>
      </c>
      <c r="AC241" s="75" t="s">
        <v>987</v>
      </c>
      <c r="AD241" s="75" t="s">
        <v>5161</v>
      </c>
      <c r="AE241" s="75" t="s">
        <v>5162</v>
      </c>
      <c r="AF241" s="75" t="s">
        <v>5167</v>
      </c>
      <c r="AG241" s="75" t="s">
        <v>5179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9"/>
        <v/>
      </c>
      <c r="E242" s="85"/>
      <c r="F242" s="80" t="str">
        <f t="shared" si="40"/>
        <v/>
      </c>
      <c r="G242" s="118"/>
      <c r="H242" s="80" t="str">
        <f t="shared" si="41"/>
        <v/>
      </c>
      <c r="I242" s="80" t="str">
        <f t="shared" si="42"/>
        <v/>
      </c>
      <c r="J242" s="117"/>
      <c r="K242" s="117"/>
      <c r="L242" s="117"/>
      <c r="M242" s="84"/>
      <c r="O242" s="75" t="str">
        <f t="shared" si="43"/>
        <v/>
      </c>
      <c r="P242" s="75" t="str">
        <f t="shared" si="44"/>
        <v/>
      </c>
      <c r="Q242" s="75" t="str">
        <f t="shared" si="45"/>
        <v/>
      </c>
      <c r="R242" s="75" t="str">
        <f t="shared" si="46"/>
        <v/>
      </c>
      <c r="AB242" s="75" t="s">
        <v>988</v>
      </c>
      <c r="AC242" s="75" t="s">
        <v>989</v>
      </c>
      <c r="AD242" s="75" t="s">
        <v>5161</v>
      </c>
      <c r="AE242" s="75" t="s">
        <v>5162</v>
      </c>
      <c r="AF242" s="75" t="s">
        <v>5167</v>
      </c>
      <c r="AG242" s="75" t="s">
        <v>5179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9"/>
        <v/>
      </c>
      <c r="E243" s="85"/>
      <c r="F243" s="80" t="str">
        <f t="shared" si="40"/>
        <v/>
      </c>
      <c r="G243" s="118"/>
      <c r="H243" s="80" t="str">
        <f t="shared" si="41"/>
        <v/>
      </c>
      <c r="I243" s="80" t="str">
        <f t="shared" si="42"/>
        <v/>
      </c>
      <c r="J243" s="117"/>
      <c r="K243" s="117"/>
      <c r="L243" s="117"/>
      <c r="M243" s="84"/>
      <c r="O243" s="75" t="str">
        <f t="shared" si="43"/>
        <v/>
      </c>
      <c r="P243" s="75" t="str">
        <f t="shared" si="44"/>
        <v/>
      </c>
      <c r="Q243" s="75" t="str">
        <f t="shared" si="45"/>
        <v/>
      </c>
      <c r="R243" s="75" t="str">
        <f t="shared" si="46"/>
        <v/>
      </c>
      <c r="AB243" s="75" t="s">
        <v>990</v>
      </c>
      <c r="AC243" s="75" t="s">
        <v>991</v>
      </c>
      <c r="AD243" s="75" t="s">
        <v>5161</v>
      </c>
      <c r="AE243" s="75" t="s">
        <v>5162</v>
      </c>
      <c r="AF243" s="75" t="s">
        <v>5167</v>
      </c>
      <c r="AG243" s="75" t="s">
        <v>5179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9"/>
        <v/>
      </c>
      <c r="E244" s="85"/>
      <c r="F244" s="80" t="str">
        <f t="shared" si="40"/>
        <v/>
      </c>
      <c r="G244" s="118"/>
      <c r="H244" s="80" t="str">
        <f t="shared" si="41"/>
        <v/>
      </c>
      <c r="I244" s="80" t="str">
        <f t="shared" si="42"/>
        <v/>
      </c>
      <c r="J244" s="117"/>
      <c r="K244" s="117"/>
      <c r="L244" s="117"/>
      <c r="M244" s="84"/>
      <c r="O244" s="75" t="str">
        <f t="shared" si="43"/>
        <v/>
      </c>
      <c r="P244" s="75" t="str">
        <f t="shared" si="44"/>
        <v/>
      </c>
      <c r="Q244" s="75" t="str">
        <f t="shared" si="45"/>
        <v/>
      </c>
      <c r="R244" s="75" t="str">
        <f t="shared" si="46"/>
        <v/>
      </c>
      <c r="AB244" s="75" t="s">
        <v>992</v>
      </c>
      <c r="AC244" s="75" t="s">
        <v>993</v>
      </c>
      <c r="AD244" s="75" t="s">
        <v>5161</v>
      </c>
      <c r="AE244" s="75" t="s">
        <v>5162</v>
      </c>
      <c r="AF244" s="75" t="s">
        <v>5167</v>
      </c>
      <c r="AG244" s="75" t="s">
        <v>5179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9"/>
        <v/>
      </c>
      <c r="E245" s="85"/>
      <c r="F245" s="80" t="str">
        <f t="shared" si="40"/>
        <v/>
      </c>
      <c r="G245" s="118"/>
      <c r="H245" s="80" t="str">
        <f t="shared" si="41"/>
        <v/>
      </c>
      <c r="I245" s="80" t="str">
        <f t="shared" si="42"/>
        <v/>
      </c>
      <c r="J245" s="117"/>
      <c r="K245" s="117"/>
      <c r="L245" s="117"/>
      <c r="M245" s="84"/>
      <c r="O245" s="75" t="str">
        <f t="shared" si="43"/>
        <v/>
      </c>
      <c r="P245" s="75" t="str">
        <f t="shared" si="44"/>
        <v/>
      </c>
      <c r="Q245" s="75" t="str">
        <f t="shared" si="45"/>
        <v/>
      </c>
      <c r="R245" s="75" t="str">
        <f t="shared" si="46"/>
        <v/>
      </c>
      <c r="AB245" s="75" t="s">
        <v>992</v>
      </c>
      <c r="AC245" s="75" t="s">
        <v>993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9"/>
        <v/>
      </c>
      <c r="E246" s="85"/>
      <c r="F246" s="80" t="str">
        <f t="shared" si="40"/>
        <v/>
      </c>
      <c r="G246" s="118"/>
      <c r="H246" s="80" t="str">
        <f t="shared" si="41"/>
        <v/>
      </c>
      <c r="I246" s="80" t="str">
        <f t="shared" si="42"/>
        <v/>
      </c>
      <c r="J246" s="117"/>
      <c r="K246" s="117"/>
      <c r="L246" s="117"/>
      <c r="M246" s="84"/>
      <c r="O246" s="75" t="str">
        <f t="shared" si="43"/>
        <v/>
      </c>
      <c r="P246" s="75" t="str">
        <f t="shared" si="44"/>
        <v/>
      </c>
      <c r="Q246" s="75" t="str">
        <f t="shared" si="45"/>
        <v/>
      </c>
      <c r="R246" s="75" t="str">
        <f t="shared" si="46"/>
        <v/>
      </c>
      <c r="AB246" s="75" t="s">
        <v>1658</v>
      </c>
      <c r="AC246" s="75" t="s">
        <v>1659</v>
      </c>
      <c r="AD246" s="75" t="s">
        <v>5161</v>
      </c>
      <c r="AE246" s="75" t="s">
        <v>5162</v>
      </c>
      <c r="AF246" s="75" t="s">
        <v>5167</v>
      </c>
      <c r="AG246" s="75" t="s">
        <v>5179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9"/>
        <v/>
      </c>
      <c r="E247" s="85"/>
      <c r="F247" s="80" t="str">
        <f t="shared" si="40"/>
        <v/>
      </c>
      <c r="G247" s="118"/>
      <c r="H247" s="80" t="str">
        <f t="shared" si="41"/>
        <v/>
      </c>
      <c r="I247" s="80" t="str">
        <f t="shared" si="42"/>
        <v/>
      </c>
      <c r="J247" s="117"/>
      <c r="K247" s="117"/>
      <c r="L247" s="117"/>
      <c r="M247" s="84"/>
      <c r="O247" s="75" t="str">
        <f t="shared" si="43"/>
        <v/>
      </c>
      <c r="P247" s="75" t="str">
        <f t="shared" si="44"/>
        <v/>
      </c>
      <c r="Q247" s="75" t="str">
        <f t="shared" si="45"/>
        <v/>
      </c>
      <c r="R247" s="75" t="str">
        <f t="shared" si="46"/>
        <v/>
      </c>
      <c r="AB247" s="75" t="s">
        <v>3491</v>
      </c>
      <c r="AC247" s="75" t="s">
        <v>3492</v>
      </c>
      <c r="AD247" s="75" t="s">
        <v>5161</v>
      </c>
      <c r="AE247" s="75" t="s">
        <v>5162</v>
      </c>
      <c r="AF247" s="75" t="s">
        <v>5167</v>
      </c>
      <c r="AG247" s="75" t="s">
        <v>5179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9"/>
        <v/>
      </c>
      <c r="E248" s="85"/>
      <c r="F248" s="80" t="str">
        <f t="shared" si="40"/>
        <v/>
      </c>
      <c r="G248" s="118"/>
      <c r="H248" s="80" t="str">
        <f t="shared" si="41"/>
        <v/>
      </c>
      <c r="I248" s="80" t="str">
        <f t="shared" si="42"/>
        <v/>
      </c>
      <c r="J248" s="117"/>
      <c r="K248" s="117"/>
      <c r="L248" s="117"/>
      <c r="M248" s="84"/>
      <c r="O248" s="75" t="str">
        <f t="shared" si="43"/>
        <v/>
      </c>
      <c r="P248" s="75" t="str">
        <f t="shared" si="44"/>
        <v/>
      </c>
      <c r="Q248" s="75" t="str">
        <f t="shared" si="45"/>
        <v/>
      </c>
      <c r="R248" s="75" t="str">
        <f t="shared" si="46"/>
        <v/>
      </c>
      <c r="AB248" s="75" t="s">
        <v>994</v>
      </c>
      <c r="AC248" s="75" t="s">
        <v>995</v>
      </c>
      <c r="AD248" s="75" t="s">
        <v>5161</v>
      </c>
      <c r="AE248" s="75" t="s">
        <v>5162</v>
      </c>
      <c r="AF248" s="75" t="s">
        <v>5167</v>
      </c>
      <c r="AG248" s="75" t="s">
        <v>5179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9"/>
        <v/>
      </c>
      <c r="E249" s="85"/>
      <c r="F249" s="80" t="str">
        <f t="shared" si="40"/>
        <v/>
      </c>
      <c r="G249" s="118"/>
      <c r="H249" s="80" t="str">
        <f t="shared" si="41"/>
        <v/>
      </c>
      <c r="I249" s="80" t="str">
        <f t="shared" si="42"/>
        <v/>
      </c>
      <c r="J249" s="117"/>
      <c r="K249" s="117"/>
      <c r="L249" s="117"/>
      <c r="M249" s="84"/>
      <c r="O249" s="75" t="str">
        <f t="shared" si="43"/>
        <v/>
      </c>
      <c r="P249" s="75" t="str">
        <f t="shared" si="44"/>
        <v/>
      </c>
      <c r="Q249" s="75" t="str">
        <f t="shared" si="45"/>
        <v/>
      </c>
      <c r="R249" s="75" t="str">
        <f t="shared" si="46"/>
        <v/>
      </c>
      <c r="AB249" s="75" t="s">
        <v>996</v>
      </c>
      <c r="AC249" s="75" t="s">
        <v>997</v>
      </c>
      <c r="AD249" s="75" t="s">
        <v>5161</v>
      </c>
      <c r="AE249" s="75" t="s">
        <v>5162</v>
      </c>
      <c r="AF249" s="75" t="s">
        <v>5167</v>
      </c>
      <c r="AG249" s="75" t="s">
        <v>5179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9"/>
        <v/>
      </c>
      <c r="E250" s="85"/>
      <c r="F250" s="80" t="str">
        <f t="shared" si="40"/>
        <v/>
      </c>
      <c r="G250" s="118"/>
      <c r="H250" s="80" t="str">
        <f t="shared" si="41"/>
        <v/>
      </c>
      <c r="I250" s="80" t="str">
        <f t="shared" si="42"/>
        <v/>
      </c>
      <c r="J250" s="117"/>
      <c r="K250" s="117"/>
      <c r="L250" s="117"/>
      <c r="M250" s="84"/>
      <c r="O250" s="75" t="str">
        <f t="shared" si="43"/>
        <v/>
      </c>
      <c r="P250" s="75" t="str">
        <f t="shared" si="44"/>
        <v/>
      </c>
      <c r="Q250" s="75" t="str">
        <f t="shared" si="45"/>
        <v/>
      </c>
      <c r="R250" s="75" t="str">
        <f t="shared" si="46"/>
        <v/>
      </c>
      <c r="AB250" s="75" t="s">
        <v>998</v>
      </c>
      <c r="AC250" s="75" t="s">
        <v>999</v>
      </c>
      <c r="AD250" s="75" t="s">
        <v>5143</v>
      </c>
      <c r="AE250" s="75" t="s">
        <v>5144</v>
      </c>
      <c r="AF250" s="75" t="s">
        <v>5165</v>
      </c>
      <c r="AG250" s="75" t="s">
        <v>5175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9"/>
        <v/>
      </c>
      <c r="E251" s="85"/>
      <c r="F251" s="80" t="str">
        <f t="shared" si="40"/>
        <v/>
      </c>
      <c r="G251" s="118"/>
      <c r="H251" s="80" t="str">
        <f t="shared" si="41"/>
        <v/>
      </c>
      <c r="I251" s="80" t="str">
        <f t="shared" si="42"/>
        <v/>
      </c>
      <c r="J251" s="117"/>
      <c r="K251" s="117"/>
      <c r="L251" s="117"/>
      <c r="M251" s="84"/>
      <c r="O251" s="75" t="str">
        <f t="shared" si="43"/>
        <v/>
      </c>
      <c r="P251" s="75" t="str">
        <f t="shared" si="44"/>
        <v/>
      </c>
      <c r="Q251" s="75" t="str">
        <f t="shared" si="45"/>
        <v/>
      </c>
      <c r="R251" s="75" t="str">
        <f t="shared" si="46"/>
        <v/>
      </c>
      <c r="AB251" s="75" t="s">
        <v>1000</v>
      </c>
      <c r="AC251" s="75" t="s">
        <v>1001</v>
      </c>
      <c r="AD251" s="75" t="s">
        <v>5143</v>
      </c>
      <c r="AE251" s="75" t="s">
        <v>5144</v>
      </c>
      <c r="AF251" s="75" t="s">
        <v>5165</v>
      </c>
      <c r="AG251" s="75" t="s">
        <v>5175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9"/>
        <v/>
      </c>
      <c r="E252" s="85"/>
      <c r="F252" s="80" t="str">
        <f t="shared" si="40"/>
        <v/>
      </c>
      <c r="G252" s="118"/>
      <c r="H252" s="80" t="str">
        <f t="shared" si="41"/>
        <v/>
      </c>
      <c r="I252" s="80" t="str">
        <f t="shared" si="42"/>
        <v/>
      </c>
      <c r="J252" s="117"/>
      <c r="K252" s="117"/>
      <c r="L252" s="117"/>
      <c r="M252" s="84"/>
      <c r="O252" s="75" t="str">
        <f t="shared" si="43"/>
        <v/>
      </c>
      <c r="P252" s="75" t="str">
        <f t="shared" si="44"/>
        <v/>
      </c>
      <c r="Q252" s="75" t="str">
        <f t="shared" si="45"/>
        <v/>
      </c>
      <c r="R252" s="75" t="str">
        <f t="shared" si="46"/>
        <v/>
      </c>
      <c r="AB252" s="75" t="s">
        <v>3493</v>
      </c>
      <c r="AC252" s="75" t="s">
        <v>3494</v>
      </c>
      <c r="AD252" s="75" t="s">
        <v>5161</v>
      </c>
      <c r="AE252" s="75" t="s">
        <v>5162</v>
      </c>
      <c r="AF252" s="75" t="s">
        <v>5167</v>
      </c>
      <c r="AG252" s="75" t="s">
        <v>5179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9"/>
        <v/>
      </c>
      <c r="E253" s="85"/>
      <c r="F253" s="80" t="str">
        <f t="shared" si="40"/>
        <v/>
      </c>
      <c r="G253" s="118"/>
      <c r="H253" s="80" t="str">
        <f t="shared" si="41"/>
        <v/>
      </c>
      <c r="I253" s="80" t="str">
        <f t="shared" si="42"/>
        <v/>
      </c>
      <c r="J253" s="117"/>
      <c r="K253" s="117"/>
      <c r="L253" s="117"/>
      <c r="M253" s="84"/>
      <c r="O253" s="75" t="str">
        <f t="shared" si="43"/>
        <v/>
      </c>
      <c r="P253" s="75" t="str">
        <f t="shared" si="44"/>
        <v/>
      </c>
      <c r="Q253" s="75" t="str">
        <f t="shared" si="45"/>
        <v/>
      </c>
      <c r="R253" s="75" t="str">
        <f t="shared" si="46"/>
        <v/>
      </c>
      <c r="AB253" s="75" t="s">
        <v>1004</v>
      </c>
      <c r="AC253" s="75" t="s">
        <v>1005</v>
      </c>
      <c r="AD253" s="75" t="s">
        <v>5141</v>
      </c>
      <c r="AE253" s="75" t="s">
        <v>5142</v>
      </c>
      <c r="AF253" s="75" t="s">
        <v>5167</v>
      </c>
      <c r="AG253" s="75" t="s">
        <v>5168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9"/>
        <v/>
      </c>
      <c r="E254" s="85"/>
      <c r="F254" s="80" t="str">
        <f t="shared" si="40"/>
        <v/>
      </c>
      <c r="G254" s="118"/>
      <c r="H254" s="80" t="str">
        <f t="shared" si="41"/>
        <v/>
      </c>
      <c r="I254" s="80" t="str">
        <f t="shared" si="42"/>
        <v/>
      </c>
      <c r="J254" s="117"/>
      <c r="K254" s="117"/>
      <c r="L254" s="117"/>
      <c r="M254" s="84"/>
      <c r="O254" s="75" t="str">
        <f t="shared" si="43"/>
        <v/>
      </c>
      <c r="P254" s="75" t="str">
        <f t="shared" si="44"/>
        <v/>
      </c>
      <c r="Q254" s="75" t="str">
        <f t="shared" si="45"/>
        <v/>
      </c>
      <c r="R254" s="75" t="str">
        <f t="shared" si="46"/>
        <v/>
      </c>
      <c r="AB254" s="75" t="s">
        <v>1006</v>
      </c>
      <c r="AC254" s="75" t="s">
        <v>1246</v>
      </c>
      <c r="AD254" s="75" t="s">
        <v>5141</v>
      </c>
      <c r="AE254" s="75" t="s">
        <v>5142</v>
      </c>
      <c r="AF254" s="75" t="s">
        <v>5167</v>
      </c>
      <c r="AG254" s="75" t="s">
        <v>5168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9"/>
        <v/>
      </c>
      <c r="E255" s="85"/>
      <c r="F255" s="80" t="str">
        <f t="shared" si="40"/>
        <v/>
      </c>
      <c r="G255" s="118"/>
      <c r="H255" s="80" t="str">
        <f t="shared" si="41"/>
        <v/>
      </c>
      <c r="I255" s="80" t="str">
        <f t="shared" si="42"/>
        <v/>
      </c>
      <c r="J255" s="117"/>
      <c r="K255" s="117"/>
      <c r="L255" s="117"/>
      <c r="M255" s="84"/>
      <c r="O255" s="75" t="str">
        <f t="shared" si="43"/>
        <v/>
      </c>
      <c r="P255" s="75" t="str">
        <f t="shared" si="44"/>
        <v/>
      </c>
      <c r="Q255" s="75" t="str">
        <f t="shared" si="45"/>
        <v/>
      </c>
      <c r="R255" s="75" t="str">
        <f t="shared" si="46"/>
        <v/>
      </c>
      <c r="AB255" s="75" t="s">
        <v>1009</v>
      </c>
      <c r="AC255" s="75" t="s">
        <v>1010</v>
      </c>
      <c r="AD255" s="75" t="s">
        <v>5161</v>
      </c>
      <c r="AE255" s="75" t="s">
        <v>5162</v>
      </c>
      <c r="AF255" s="75" t="s">
        <v>5167</v>
      </c>
      <c r="AG255" s="75" t="s">
        <v>5179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9"/>
        <v/>
      </c>
      <c r="E256" s="85"/>
      <c r="F256" s="80" t="str">
        <f t="shared" si="40"/>
        <v/>
      </c>
      <c r="G256" s="118"/>
      <c r="H256" s="80" t="str">
        <f t="shared" si="41"/>
        <v/>
      </c>
      <c r="I256" s="80" t="str">
        <f t="shared" si="42"/>
        <v/>
      </c>
      <c r="J256" s="117"/>
      <c r="K256" s="117"/>
      <c r="L256" s="117"/>
      <c r="M256" s="84"/>
      <c r="O256" s="75" t="str">
        <f t="shared" si="43"/>
        <v/>
      </c>
      <c r="P256" s="75" t="str">
        <f t="shared" si="44"/>
        <v/>
      </c>
      <c r="Q256" s="75" t="str">
        <f t="shared" si="45"/>
        <v/>
      </c>
      <c r="R256" s="75" t="str">
        <f t="shared" si="46"/>
        <v/>
      </c>
      <c r="AB256" s="75" t="s">
        <v>1011</v>
      </c>
      <c r="AC256" s="75" t="s">
        <v>1245</v>
      </c>
      <c r="AD256" s="75" t="s">
        <v>5161</v>
      </c>
      <c r="AE256" s="75" t="s">
        <v>5162</v>
      </c>
      <c r="AF256" s="75" t="s">
        <v>5167</v>
      </c>
      <c r="AG256" s="75" t="s">
        <v>5179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9"/>
        <v/>
      </c>
      <c r="E257" s="85"/>
      <c r="F257" s="80" t="str">
        <f t="shared" si="40"/>
        <v/>
      </c>
      <c r="G257" s="118"/>
      <c r="H257" s="80" t="str">
        <f t="shared" si="41"/>
        <v/>
      </c>
      <c r="I257" s="80" t="str">
        <f t="shared" si="42"/>
        <v/>
      </c>
      <c r="J257" s="117"/>
      <c r="K257" s="117"/>
      <c r="L257" s="117"/>
      <c r="M257" s="84"/>
      <c r="O257" s="75" t="str">
        <f t="shared" si="43"/>
        <v/>
      </c>
      <c r="P257" s="75" t="str">
        <f t="shared" si="44"/>
        <v/>
      </c>
      <c r="Q257" s="75" t="str">
        <f t="shared" si="45"/>
        <v/>
      </c>
      <c r="R257" s="75" t="str">
        <f t="shared" si="46"/>
        <v/>
      </c>
      <c r="AB257" s="75" t="s">
        <v>1012</v>
      </c>
      <c r="AC257" s="75" t="s">
        <v>1013</v>
      </c>
      <c r="AD257" s="75" t="s">
        <v>5161</v>
      </c>
      <c r="AE257" s="75" t="s">
        <v>5162</v>
      </c>
      <c r="AF257" s="75" t="s">
        <v>5167</v>
      </c>
      <c r="AG257" s="75" t="s">
        <v>5179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9"/>
        <v/>
      </c>
      <c r="E258" s="85"/>
      <c r="F258" s="80" t="str">
        <f t="shared" si="40"/>
        <v/>
      </c>
      <c r="G258" s="118"/>
      <c r="H258" s="80" t="str">
        <f t="shared" si="41"/>
        <v/>
      </c>
      <c r="I258" s="80" t="str">
        <f t="shared" si="42"/>
        <v/>
      </c>
      <c r="J258" s="117"/>
      <c r="K258" s="117"/>
      <c r="L258" s="117"/>
      <c r="M258" s="84"/>
      <c r="O258" s="75" t="str">
        <f t="shared" si="43"/>
        <v/>
      </c>
      <c r="P258" s="75" t="str">
        <f t="shared" si="44"/>
        <v/>
      </c>
      <c r="Q258" s="75" t="str">
        <f t="shared" si="45"/>
        <v/>
      </c>
      <c r="R258" s="75" t="str">
        <f t="shared" si="46"/>
        <v/>
      </c>
      <c r="AB258" s="75" t="s">
        <v>1014</v>
      </c>
      <c r="AC258" s="75" t="s">
        <v>1247</v>
      </c>
      <c r="AD258" s="75" t="s">
        <v>5161</v>
      </c>
      <c r="AE258" s="75" t="s">
        <v>5162</v>
      </c>
      <c r="AF258" s="75" t="s">
        <v>5167</v>
      </c>
      <c r="AG258" s="75" t="s">
        <v>5179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7">IFERROR(VLOOKUP(C259,$S$6:$T$25,2,FALSE),"")</f>
        <v/>
      </c>
      <c r="E259" s="85"/>
      <c r="F259" s="80" t="str">
        <f t="shared" ref="F259:F322" si="48">IFERROR(VLOOKUP(E259,$V$5:$X$152,2,FALSE),"")</f>
        <v/>
      </c>
      <c r="G259" s="118"/>
      <c r="H259" s="80" t="str">
        <f t="shared" ref="H259:H322" si="49">IFERROR(VLOOKUP(G259,$AB$6:$AC$350,2,FALSE),"")</f>
        <v/>
      </c>
      <c r="I259" s="80" t="str">
        <f t="shared" ref="I259:I322" si="50">IFERROR(VLOOKUP(G259,$AB$6:$AF$350,3,FALSE),"")</f>
        <v/>
      </c>
      <c r="J259" s="117"/>
      <c r="K259" s="117"/>
      <c r="L259" s="117"/>
      <c r="M259" s="84"/>
      <c r="O259" s="75" t="str">
        <f t="shared" ref="O259:O322" si="51">LEFT(E259,3)</f>
        <v/>
      </c>
      <c r="P259" s="75" t="str">
        <f t="shared" ref="P259:P322" si="52">LEFT(E259,2)</f>
        <v/>
      </c>
      <c r="Q259" s="75" t="str">
        <f t="shared" ref="Q259:Q322" si="53">LEFT(C259,3)</f>
        <v/>
      </c>
      <c r="R259" s="75" t="str">
        <f t="shared" si="46"/>
        <v/>
      </c>
      <c r="AB259" s="75" t="s">
        <v>1015</v>
      </c>
      <c r="AC259" s="75" t="s">
        <v>1016</v>
      </c>
      <c r="AD259" s="75" t="s">
        <v>5161</v>
      </c>
      <c r="AE259" s="75" t="s">
        <v>5162</v>
      </c>
      <c r="AF259" s="75" t="s">
        <v>5167</v>
      </c>
      <c r="AG259" s="75" t="s">
        <v>5179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7"/>
        <v/>
      </c>
      <c r="E260" s="85"/>
      <c r="F260" s="80" t="str">
        <f t="shared" si="48"/>
        <v/>
      </c>
      <c r="G260" s="118"/>
      <c r="H260" s="80" t="str">
        <f t="shared" si="49"/>
        <v/>
      </c>
      <c r="I260" s="80" t="str">
        <f t="shared" si="50"/>
        <v/>
      </c>
      <c r="J260" s="117"/>
      <c r="K260" s="117"/>
      <c r="L260" s="117"/>
      <c r="M260" s="84"/>
      <c r="O260" s="75" t="str">
        <f t="shared" si="51"/>
        <v/>
      </c>
      <c r="P260" s="75" t="str">
        <f t="shared" si="52"/>
        <v/>
      </c>
      <c r="Q260" s="75" t="str">
        <f t="shared" si="53"/>
        <v/>
      </c>
      <c r="R260" s="75" t="str">
        <f t="shared" si="46"/>
        <v/>
      </c>
      <c r="AB260" s="75" t="s">
        <v>3495</v>
      </c>
      <c r="AC260" s="75" t="s">
        <v>3496</v>
      </c>
      <c r="AD260" s="75" t="s">
        <v>5161</v>
      </c>
      <c r="AE260" s="75" t="s">
        <v>5162</v>
      </c>
      <c r="AF260" s="75" t="s">
        <v>5167</v>
      </c>
      <c r="AG260" s="75" t="s">
        <v>5179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7"/>
        <v/>
      </c>
      <c r="E261" s="85"/>
      <c r="F261" s="80" t="str">
        <f t="shared" si="48"/>
        <v/>
      </c>
      <c r="G261" s="118"/>
      <c r="H261" s="80" t="str">
        <f t="shared" si="49"/>
        <v/>
      </c>
      <c r="I261" s="80" t="str">
        <f t="shared" si="50"/>
        <v/>
      </c>
      <c r="J261" s="117"/>
      <c r="K261" s="117"/>
      <c r="L261" s="117"/>
      <c r="M261" s="84"/>
      <c r="O261" s="75" t="str">
        <f t="shared" si="51"/>
        <v/>
      </c>
      <c r="P261" s="75" t="str">
        <f t="shared" si="52"/>
        <v/>
      </c>
      <c r="Q261" s="75" t="str">
        <f t="shared" si="53"/>
        <v/>
      </c>
      <c r="R261" s="75" t="str">
        <f t="shared" si="46"/>
        <v/>
      </c>
      <c r="AB261" s="75" t="s">
        <v>1019</v>
      </c>
      <c r="AC261" s="75" t="s">
        <v>1020</v>
      </c>
      <c r="AD261" s="75" t="s">
        <v>5143</v>
      </c>
      <c r="AE261" s="75" t="s">
        <v>5144</v>
      </c>
      <c r="AF261" s="75" t="s">
        <v>5165</v>
      </c>
      <c r="AG261" s="75" t="s">
        <v>5175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7"/>
        <v/>
      </c>
      <c r="E262" s="85"/>
      <c r="F262" s="80" t="str">
        <f t="shared" si="48"/>
        <v/>
      </c>
      <c r="G262" s="118"/>
      <c r="H262" s="80" t="str">
        <f t="shared" si="49"/>
        <v/>
      </c>
      <c r="I262" s="80" t="str">
        <f t="shared" si="50"/>
        <v/>
      </c>
      <c r="J262" s="117"/>
      <c r="K262" s="117"/>
      <c r="L262" s="117"/>
      <c r="M262" s="84"/>
      <c r="O262" s="75" t="str">
        <f t="shared" si="51"/>
        <v/>
      </c>
      <c r="P262" s="75" t="str">
        <f t="shared" si="52"/>
        <v/>
      </c>
      <c r="Q262" s="75" t="str">
        <f t="shared" si="53"/>
        <v/>
      </c>
      <c r="R262" s="75" t="str">
        <f t="shared" si="46"/>
        <v/>
      </c>
      <c r="AB262" s="75" t="s">
        <v>1021</v>
      </c>
      <c r="AC262" s="75" t="s">
        <v>1022</v>
      </c>
      <c r="AD262" s="75" t="s">
        <v>5143</v>
      </c>
      <c r="AE262" s="75" t="s">
        <v>5144</v>
      </c>
      <c r="AF262" s="75" t="s">
        <v>5165</v>
      </c>
      <c r="AG262" s="75" t="s">
        <v>5175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7"/>
        <v/>
      </c>
      <c r="E263" s="85"/>
      <c r="F263" s="80" t="str">
        <f t="shared" si="48"/>
        <v/>
      </c>
      <c r="G263" s="118"/>
      <c r="H263" s="80" t="str">
        <f t="shared" si="49"/>
        <v/>
      </c>
      <c r="I263" s="80" t="str">
        <f t="shared" si="50"/>
        <v/>
      </c>
      <c r="J263" s="117"/>
      <c r="K263" s="117"/>
      <c r="L263" s="117"/>
      <c r="M263" s="84"/>
      <c r="O263" s="75" t="str">
        <f t="shared" si="51"/>
        <v/>
      </c>
      <c r="P263" s="75" t="str">
        <f t="shared" si="52"/>
        <v/>
      </c>
      <c r="Q263" s="75" t="str">
        <f t="shared" si="53"/>
        <v/>
      </c>
      <c r="R263" s="75" t="str">
        <f t="shared" si="46"/>
        <v/>
      </c>
      <c r="AB263" s="75" t="s">
        <v>1023</v>
      </c>
      <c r="AC263" s="75" t="s">
        <v>1024</v>
      </c>
      <c r="AD263" s="75" t="s">
        <v>5143</v>
      </c>
      <c r="AE263" s="75" t="s">
        <v>5144</v>
      </c>
      <c r="AF263" s="75" t="s">
        <v>5165</v>
      </c>
      <c r="AG263" s="75" t="s">
        <v>5175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7"/>
        <v/>
      </c>
      <c r="E264" s="85"/>
      <c r="F264" s="80" t="str">
        <f t="shared" si="48"/>
        <v/>
      </c>
      <c r="G264" s="118"/>
      <c r="H264" s="80" t="str">
        <f t="shared" si="49"/>
        <v/>
      </c>
      <c r="I264" s="80" t="str">
        <f t="shared" si="50"/>
        <v/>
      </c>
      <c r="J264" s="117"/>
      <c r="K264" s="117"/>
      <c r="L264" s="117"/>
      <c r="M264" s="84"/>
      <c r="O264" s="75" t="str">
        <f t="shared" si="51"/>
        <v/>
      </c>
      <c r="P264" s="75" t="str">
        <f t="shared" si="52"/>
        <v/>
      </c>
      <c r="Q264" s="75" t="str">
        <f t="shared" si="53"/>
        <v/>
      </c>
      <c r="R264" s="75" t="str">
        <f t="shared" si="46"/>
        <v/>
      </c>
      <c r="AB264" s="75" t="s">
        <v>1025</v>
      </c>
      <c r="AC264" s="75" t="s">
        <v>1026</v>
      </c>
      <c r="AD264" s="75" t="s">
        <v>5143</v>
      </c>
      <c r="AE264" s="75" t="s">
        <v>5144</v>
      </c>
      <c r="AF264" s="75" t="s">
        <v>5165</v>
      </c>
      <c r="AG264" s="75" t="s">
        <v>5175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7"/>
        <v/>
      </c>
      <c r="E265" s="85"/>
      <c r="F265" s="80" t="str">
        <f t="shared" si="48"/>
        <v/>
      </c>
      <c r="G265" s="118"/>
      <c r="H265" s="80" t="str">
        <f t="shared" si="49"/>
        <v/>
      </c>
      <c r="I265" s="80" t="str">
        <f t="shared" si="50"/>
        <v/>
      </c>
      <c r="J265" s="117"/>
      <c r="K265" s="117"/>
      <c r="L265" s="117"/>
      <c r="M265" s="84"/>
      <c r="O265" s="75" t="str">
        <f t="shared" si="51"/>
        <v/>
      </c>
      <c r="P265" s="75" t="str">
        <f t="shared" si="52"/>
        <v/>
      </c>
      <c r="Q265" s="75" t="str">
        <f t="shared" si="53"/>
        <v/>
      </c>
      <c r="R265" s="75" t="str">
        <f t="shared" si="46"/>
        <v/>
      </c>
      <c r="AB265" s="75" t="s">
        <v>1660</v>
      </c>
      <c r="AC265" s="75" t="s">
        <v>1661</v>
      </c>
      <c r="AD265" s="75" t="s">
        <v>5143</v>
      </c>
      <c r="AE265" s="75" t="s">
        <v>5144</v>
      </c>
      <c r="AF265" s="75" t="s">
        <v>5165</v>
      </c>
      <c r="AG265" s="75" t="s">
        <v>5175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7"/>
        <v/>
      </c>
      <c r="E266" s="85"/>
      <c r="F266" s="80" t="str">
        <f t="shared" si="48"/>
        <v/>
      </c>
      <c r="G266" s="118"/>
      <c r="H266" s="80" t="str">
        <f t="shared" si="49"/>
        <v/>
      </c>
      <c r="I266" s="80" t="str">
        <f t="shared" si="50"/>
        <v/>
      </c>
      <c r="J266" s="117"/>
      <c r="K266" s="117"/>
      <c r="L266" s="117"/>
      <c r="M266" s="84"/>
      <c r="O266" s="75" t="str">
        <f t="shared" si="51"/>
        <v/>
      </c>
      <c r="P266" s="75" t="str">
        <f t="shared" si="52"/>
        <v/>
      </c>
      <c r="Q266" s="75" t="str">
        <f t="shared" si="53"/>
        <v/>
      </c>
      <c r="R266" s="75" t="str">
        <f t="shared" si="46"/>
        <v/>
      </c>
      <c r="AB266" s="75" t="s">
        <v>1027</v>
      </c>
      <c r="AC266" s="75" t="s">
        <v>1028</v>
      </c>
      <c r="AD266" s="75" t="s">
        <v>5143</v>
      </c>
      <c r="AE266" s="75" t="s">
        <v>5144</v>
      </c>
      <c r="AF266" s="75" t="s">
        <v>5165</v>
      </c>
      <c r="AG266" s="75" t="s">
        <v>5175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7"/>
        <v/>
      </c>
      <c r="E267" s="85"/>
      <c r="F267" s="80" t="str">
        <f t="shared" si="48"/>
        <v/>
      </c>
      <c r="G267" s="118"/>
      <c r="H267" s="80" t="str">
        <f t="shared" si="49"/>
        <v/>
      </c>
      <c r="I267" s="80" t="str">
        <f t="shared" si="50"/>
        <v/>
      </c>
      <c r="J267" s="117"/>
      <c r="K267" s="117"/>
      <c r="L267" s="117"/>
      <c r="M267" s="84"/>
      <c r="O267" s="75" t="str">
        <f t="shared" si="51"/>
        <v/>
      </c>
      <c r="P267" s="75" t="str">
        <f t="shared" si="52"/>
        <v/>
      </c>
      <c r="Q267" s="75" t="str">
        <f t="shared" si="53"/>
        <v/>
      </c>
      <c r="R267" s="75" t="str">
        <f t="shared" si="46"/>
        <v/>
      </c>
      <c r="AB267" s="75" t="s">
        <v>2004</v>
      </c>
      <c r="AC267" s="75" t="s">
        <v>3497</v>
      </c>
      <c r="AD267" s="75" t="s">
        <v>5143</v>
      </c>
      <c r="AE267" s="75" t="s">
        <v>5144</v>
      </c>
      <c r="AF267" s="75" t="s">
        <v>5165</v>
      </c>
      <c r="AG267" s="75" t="s">
        <v>5175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7"/>
        <v/>
      </c>
      <c r="E268" s="85"/>
      <c r="F268" s="80" t="str">
        <f t="shared" si="48"/>
        <v/>
      </c>
      <c r="G268" s="118"/>
      <c r="H268" s="80" t="str">
        <f t="shared" si="49"/>
        <v/>
      </c>
      <c r="I268" s="80" t="str">
        <f t="shared" si="50"/>
        <v/>
      </c>
      <c r="J268" s="117"/>
      <c r="K268" s="117"/>
      <c r="L268" s="117"/>
      <c r="M268" s="84"/>
      <c r="O268" s="75" t="str">
        <f t="shared" si="51"/>
        <v/>
      </c>
      <c r="P268" s="75" t="str">
        <f t="shared" si="52"/>
        <v/>
      </c>
      <c r="Q268" s="75" t="str">
        <f t="shared" si="53"/>
        <v/>
      </c>
      <c r="R268" s="75" t="str">
        <f t="shared" si="46"/>
        <v/>
      </c>
      <c r="AB268" s="75" t="s">
        <v>1662</v>
      </c>
      <c r="AC268" s="75" t="s">
        <v>684</v>
      </c>
      <c r="AD268" s="75" t="s">
        <v>5143</v>
      </c>
      <c r="AE268" s="75" t="s">
        <v>5144</v>
      </c>
      <c r="AF268" s="75" t="s">
        <v>5165</v>
      </c>
      <c r="AG268" s="75" t="s">
        <v>5175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7"/>
        <v/>
      </c>
      <c r="E269" s="85"/>
      <c r="F269" s="80" t="str">
        <f t="shared" si="48"/>
        <v/>
      </c>
      <c r="G269" s="118"/>
      <c r="H269" s="80" t="str">
        <f t="shared" si="49"/>
        <v/>
      </c>
      <c r="I269" s="80" t="str">
        <f t="shared" si="50"/>
        <v/>
      </c>
      <c r="J269" s="117"/>
      <c r="K269" s="117"/>
      <c r="L269" s="117"/>
      <c r="M269" s="84"/>
      <c r="O269" s="75" t="str">
        <f t="shared" si="51"/>
        <v/>
      </c>
      <c r="P269" s="75" t="str">
        <f t="shared" si="52"/>
        <v/>
      </c>
      <c r="Q269" s="75" t="str">
        <f t="shared" si="53"/>
        <v/>
      </c>
      <c r="R269" s="75" t="str">
        <f t="shared" si="46"/>
        <v/>
      </c>
      <c r="AB269" s="75" t="s">
        <v>1031</v>
      </c>
      <c r="AC269" s="75" t="s">
        <v>1032</v>
      </c>
      <c r="AD269" s="75" t="s">
        <v>5147</v>
      </c>
      <c r="AE269" s="75" t="s">
        <v>5148</v>
      </c>
      <c r="AF269" s="75" t="s">
        <v>5165</v>
      </c>
      <c r="AG269" s="75" t="s">
        <v>5173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7"/>
        <v/>
      </c>
      <c r="E270" s="85"/>
      <c r="F270" s="80" t="str">
        <f t="shared" si="48"/>
        <v/>
      </c>
      <c r="G270" s="118"/>
      <c r="H270" s="80" t="str">
        <f t="shared" si="49"/>
        <v/>
      </c>
      <c r="I270" s="80" t="str">
        <f t="shared" si="50"/>
        <v/>
      </c>
      <c r="J270" s="117"/>
      <c r="K270" s="117"/>
      <c r="L270" s="117"/>
      <c r="M270" s="84"/>
      <c r="O270" s="75" t="str">
        <f t="shared" si="51"/>
        <v/>
      </c>
      <c r="P270" s="75" t="str">
        <f t="shared" si="52"/>
        <v/>
      </c>
      <c r="Q270" s="75" t="str">
        <f t="shared" si="53"/>
        <v/>
      </c>
      <c r="R270" s="75" t="str">
        <f t="shared" si="46"/>
        <v/>
      </c>
      <c r="AB270" s="75" t="s">
        <v>1033</v>
      </c>
      <c r="AC270" s="75" t="s">
        <v>1034</v>
      </c>
      <c r="AD270" s="75" t="s">
        <v>5141</v>
      </c>
      <c r="AE270" s="75" t="s">
        <v>5142</v>
      </c>
      <c r="AF270" s="75" t="s">
        <v>5167</v>
      </c>
      <c r="AG270" s="75" t="s">
        <v>5168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7"/>
        <v/>
      </c>
      <c r="E271" s="85"/>
      <c r="F271" s="80" t="str">
        <f t="shared" si="48"/>
        <v/>
      </c>
      <c r="G271" s="118"/>
      <c r="H271" s="80" t="str">
        <f t="shared" si="49"/>
        <v/>
      </c>
      <c r="I271" s="80" t="str">
        <f t="shared" si="50"/>
        <v/>
      </c>
      <c r="J271" s="117"/>
      <c r="K271" s="117"/>
      <c r="L271" s="117"/>
      <c r="M271" s="84"/>
      <c r="O271" s="75" t="str">
        <f t="shared" si="51"/>
        <v/>
      </c>
      <c r="P271" s="75" t="str">
        <f t="shared" si="52"/>
        <v/>
      </c>
      <c r="Q271" s="75" t="str">
        <f t="shared" si="53"/>
        <v/>
      </c>
      <c r="R271" s="75" t="str">
        <f t="shared" si="46"/>
        <v/>
      </c>
      <c r="AB271" s="75" t="s">
        <v>1033</v>
      </c>
      <c r="AC271" s="75" t="s">
        <v>1034</v>
      </c>
      <c r="AD271" s="75" t="s">
        <v>5147</v>
      </c>
      <c r="AE271" s="75" t="s">
        <v>5148</v>
      </c>
      <c r="AF271" s="75" t="s">
        <v>5165</v>
      </c>
      <c r="AG271" s="75" t="s">
        <v>5173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7"/>
        <v/>
      </c>
      <c r="E272" s="85"/>
      <c r="F272" s="80" t="str">
        <f t="shared" si="48"/>
        <v/>
      </c>
      <c r="G272" s="118"/>
      <c r="H272" s="80" t="str">
        <f t="shared" si="49"/>
        <v/>
      </c>
      <c r="I272" s="80" t="str">
        <f t="shared" si="50"/>
        <v/>
      </c>
      <c r="J272" s="117"/>
      <c r="K272" s="117"/>
      <c r="L272" s="117"/>
      <c r="M272" s="84"/>
      <c r="O272" s="75" t="str">
        <f t="shared" si="51"/>
        <v/>
      </c>
      <c r="P272" s="75" t="str">
        <f t="shared" si="52"/>
        <v/>
      </c>
      <c r="Q272" s="75" t="str">
        <f t="shared" si="53"/>
        <v/>
      </c>
      <c r="R272" s="75" t="str">
        <f t="shared" si="46"/>
        <v/>
      </c>
      <c r="AB272" s="75" t="s">
        <v>1035</v>
      </c>
      <c r="AC272" s="75" t="s">
        <v>1036</v>
      </c>
      <c r="AD272" s="75" t="s">
        <v>5147</v>
      </c>
      <c r="AE272" s="75" t="s">
        <v>5148</v>
      </c>
      <c r="AF272" s="75" t="s">
        <v>5165</v>
      </c>
      <c r="AG272" s="75" t="s">
        <v>5173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7"/>
        <v/>
      </c>
      <c r="E273" s="85"/>
      <c r="F273" s="80" t="str">
        <f t="shared" si="48"/>
        <v/>
      </c>
      <c r="G273" s="118"/>
      <c r="H273" s="80" t="str">
        <f t="shared" si="49"/>
        <v/>
      </c>
      <c r="I273" s="80" t="str">
        <f t="shared" si="50"/>
        <v/>
      </c>
      <c r="J273" s="117"/>
      <c r="K273" s="117"/>
      <c r="L273" s="117"/>
      <c r="M273" s="84"/>
      <c r="O273" s="75" t="str">
        <f t="shared" si="51"/>
        <v/>
      </c>
      <c r="P273" s="75" t="str">
        <f t="shared" si="52"/>
        <v/>
      </c>
      <c r="Q273" s="75" t="str">
        <f t="shared" si="53"/>
        <v/>
      </c>
      <c r="R273" s="75" t="str">
        <f t="shared" ref="R273:R336" si="54">MID(I273,2,2)</f>
        <v/>
      </c>
      <c r="AB273" s="75" t="s">
        <v>1037</v>
      </c>
      <c r="AC273" s="75" t="s">
        <v>1038</v>
      </c>
      <c r="AD273" s="75" t="s">
        <v>5147</v>
      </c>
      <c r="AE273" s="75" t="s">
        <v>5148</v>
      </c>
      <c r="AF273" s="75" t="s">
        <v>5165</v>
      </c>
      <c r="AG273" s="75" t="s">
        <v>5173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7"/>
        <v/>
      </c>
      <c r="E274" s="85"/>
      <c r="F274" s="80" t="str">
        <f t="shared" si="48"/>
        <v/>
      </c>
      <c r="G274" s="118"/>
      <c r="H274" s="80" t="str">
        <f t="shared" si="49"/>
        <v/>
      </c>
      <c r="I274" s="80" t="str">
        <f t="shared" si="50"/>
        <v/>
      </c>
      <c r="J274" s="117"/>
      <c r="K274" s="117"/>
      <c r="L274" s="117"/>
      <c r="M274" s="84"/>
      <c r="O274" s="75" t="str">
        <f t="shared" si="51"/>
        <v/>
      </c>
      <c r="P274" s="75" t="str">
        <f t="shared" si="52"/>
        <v/>
      </c>
      <c r="Q274" s="75" t="str">
        <f t="shared" si="53"/>
        <v/>
      </c>
      <c r="R274" s="75" t="str">
        <f t="shared" si="54"/>
        <v/>
      </c>
      <c r="AB274" s="75" t="s">
        <v>1039</v>
      </c>
      <c r="AC274" s="75" t="s">
        <v>1040</v>
      </c>
      <c r="AD274" s="75" t="s">
        <v>5147</v>
      </c>
      <c r="AE274" s="75" t="s">
        <v>5148</v>
      </c>
      <c r="AF274" s="75" t="s">
        <v>5165</v>
      </c>
      <c r="AG274" s="75" t="s">
        <v>5173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7"/>
        <v/>
      </c>
      <c r="E275" s="85"/>
      <c r="F275" s="80" t="str">
        <f t="shared" si="48"/>
        <v/>
      </c>
      <c r="G275" s="118"/>
      <c r="H275" s="80" t="str">
        <f t="shared" si="49"/>
        <v/>
      </c>
      <c r="I275" s="80" t="str">
        <f t="shared" si="50"/>
        <v/>
      </c>
      <c r="J275" s="117"/>
      <c r="K275" s="117"/>
      <c r="L275" s="117"/>
      <c r="M275" s="84"/>
      <c r="O275" s="75" t="str">
        <f t="shared" si="51"/>
        <v/>
      </c>
      <c r="P275" s="75" t="str">
        <f t="shared" si="52"/>
        <v/>
      </c>
      <c r="Q275" s="75" t="str">
        <f t="shared" si="53"/>
        <v/>
      </c>
      <c r="R275" s="75" t="str">
        <f t="shared" si="54"/>
        <v/>
      </c>
      <c r="AB275" s="75" t="s">
        <v>1041</v>
      </c>
      <c r="AC275" s="75" t="s">
        <v>1042</v>
      </c>
      <c r="AD275" s="75" t="s">
        <v>5147</v>
      </c>
      <c r="AE275" s="75" t="s">
        <v>5148</v>
      </c>
      <c r="AF275" s="75" t="s">
        <v>5165</v>
      </c>
      <c r="AG275" s="75" t="s">
        <v>5173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7"/>
        <v/>
      </c>
      <c r="E276" s="85"/>
      <c r="F276" s="80" t="str">
        <f t="shared" si="48"/>
        <v/>
      </c>
      <c r="G276" s="118"/>
      <c r="H276" s="80" t="str">
        <f t="shared" si="49"/>
        <v/>
      </c>
      <c r="I276" s="80" t="str">
        <f t="shared" si="50"/>
        <v/>
      </c>
      <c r="J276" s="117"/>
      <c r="K276" s="117"/>
      <c r="L276" s="117"/>
      <c r="M276" s="84"/>
      <c r="O276" s="75" t="str">
        <f t="shared" si="51"/>
        <v/>
      </c>
      <c r="P276" s="75" t="str">
        <f t="shared" si="52"/>
        <v/>
      </c>
      <c r="Q276" s="75" t="str">
        <f t="shared" si="53"/>
        <v/>
      </c>
      <c r="R276" s="75" t="str">
        <f t="shared" si="54"/>
        <v/>
      </c>
      <c r="AB276" s="75" t="s">
        <v>1043</v>
      </c>
      <c r="AC276" s="75" t="s">
        <v>1044</v>
      </c>
      <c r="AD276" s="75" t="s">
        <v>5147</v>
      </c>
      <c r="AE276" s="75" t="s">
        <v>5148</v>
      </c>
      <c r="AF276" s="75" t="s">
        <v>5165</v>
      </c>
      <c r="AG276" s="75" t="s">
        <v>5173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7"/>
        <v/>
      </c>
      <c r="E277" s="85"/>
      <c r="F277" s="80" t="str">
        <f t="shared" si="48"/>
        <v/>
      </c>
      <c r="G277" s="118"/>
      <c r="H277" s="80" t="str">
        <f t="shared" si="49"/>
        <v/>
      </c>
      <c r="I277" s="80" t="str">
        <f t="shared" si="50"/>
        <v/>
      </c>
      <c r="J277" s="117"/>
      <c r="K277" s="117"/>
      <c r="L277" s="117"/>
      <c r="M277" s="84"/>
      <c r="O277" s="75" t="str">
        <f t="shared" si="51"/>
        <v/>
      </c>
      <c r="P277" s="75" t="str">
        <f t="shared" si="52"/>
        <v/>
      </c>
      <c r="Q277" s="75" t="str">
        <f t="shared" si="53"/>
        <v/>
      </c>
      <c r="R277" s="75" t="str">
        <f t="shared" si="54"/>
        <v/>
      </c>
      <c r="AB277" s="75" t="s">
        <v>1045</v>
      </c>
      <c r="AC277" s="75" t="s">
        <v>1046</v>
      </c>
      <c r="AD277" s="75" t="s">
        <v>5147</v>
      </c>
      <c r="AE277" s="75" t="s">
        <v>5148</v>
      </c>
      <c r="AF277" s="75" t="s">
        <v>5165</v>
      </c>
      <c r="AG277" s="75" t="s">
        <v>5173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7"/>
        <v/>
      </c>
      <c r="E278" s="85"/>
      <c r="F278" s="80" t="str">
        <f t="shared" si="48"/>
        <v/>
      </c>
      <c r="G278" s="118"/>
      <c r="H278" s="80" t="str">
        <f t="shared" si="49"/>
        <v/>
      </c>
      <c r="I278" s="80" t="str">
        <f t="shared" si="50"/>
        <v/>
      </c>
      <c r="J278" s="117"/>
      <c r="K278" s="117"/>
      <c r="L278" s="117"/>
      <c r="M278" s="84"/>
      <c r="O278" s="75" t="str">
        <f t="shared" si="51"/>
        <v/>
      </c>
      <c r="P278" s="75" t="str">
        <f t="shared" si="52"/>
        <v/>
      </c>
      <c r="Q278" s="75" t="str">
        <f t="shared" si="53"/>
        <v/>
      </c>
      <c r="R278" s="75" t="str">
        <f t="shared" si="54"/>
        <v/>
      </c>
      <c r="AB278" s="75" t="s">
        <v>1047</v>
      </c>
      <c r="AC278" s="75" t="s">
        <v>1048</v>
      </c>
      <c r="AD278" s="75" t="s">
        <v>5147</v>
      </c>
      <c r="AE278" s="75" t="s">
        <v>5148</v>
      </c>
      <c r="AF278" s="75" t="s">
        <v>5165</v>
      </c>
      <c r="AG278" s="75" t="s">
        <v>5173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7"/>
        <v/>
      </c>
      <c r="E279" s="85"/>
      <c r="F279" s="80" t="str">
        <f t="shared" si="48"/>
        <v/>
      </c>
      <c r="G279" s="118"/>
      <c r="H279" s="80" t="str">
        <f t="shared" si="49"/>
        <v/>
      </c>
      <c r="I279" s="80" t="str">
        <f t="shared" si="50"/>
        <v/>
      </c>
      <c r="J279" s="117"/>
      <c r="K279" s="117"/>
      <c r="L279" s="117"/>
      <c r="M279" s="84"/>
      <c r="O279" s="75" t="str">
        <f t="shared" si="51"/>
        <v/>
      </c>
      <c r="P279" s="75" t="str">
        <f t="shared" si="52"/>
        <v/>
      </c>
      <c r="Q279" s="75" t="str">
        <f t="shared" si="53"/>
        <v/>
      </c>
      <c r="R279" s="75" t="str">
        <f t="shared" si="54"/>
        <v/>
      </c>
      <c r="AB279" s="75" t="s">
        <v>1049</v>
      </c>
      <c r="AC279" s="75" t="s">
        <v>1050</v>
      </c>
      <c r="AD279" s="75" t="s">
        <v>5147</v>
      </c>
      <c r="AE279" s="75" t="s">
        <v>5148</v>
      </c>
      <c r="AF279" s="75" t="s">
        <v>5165</v>
      </c>
      <c r="AG279" s="75" t="s">
        <v>5173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7"/>
        <v/>
      </c>
      <c r="E280" s="85"/>
      <c r="F280" s="80" t="str">
        <f t="shared" si="48"/>
        <v/>
      </c>
      <c r="G280" s="118"/>
      <c r="H280" s="80" t="str">
        <f t="shared" si="49"/>
        <v/>
      </c>
      <c r="I280" s="80" t="str">
        <f t="shared" si="50"/>
        <v/>
      </c>
      <c r="J280" s="117"/>
      <c r="K280" s="117"/>
      <c r="L280" s="117"/>
      <c r="M280" s="84"/>
      <c r="O280" s="75" t="str">
        <f t="shared" si="51"/>
        <v/>
      </c>
      <c r="P280" s="75" t="str">
        <f t="shared" si="52"/>
        <v/>
      </c>
      <c r="Q280" s="75" t="str">
        <f t="shared" si="53"/>
        <v/>
      </c>
      <c r="R280" s="75" t="str">
        <f t="shared" si="54"/>
        <v/>
      </c>
      <c r="AB280" s="75" t="s">
        <v>1051</v>
      </c>
      <c r="AC280" s="75" t="s">
        <v>1052</v>
      </c>
      <c r="AD280" s="75" t="s">
        <v>5147</v>
      </c>
      <c r="AE280" s="75" t="s">
        <v>5148</v>
      </c>
      <c r="AF280" s="75" t="s">
        <v>5165</v>
      </c>
      <c r="AG280" s="75" t="s">
        <v>5173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7"/>
        <v/>
      </c>
      <c r="E281" s="85"/>
      <c r="F281" s="80" t="str">
        <f t="shared" si="48"/>
        <v/>
      </c>
      <c r="G281" s="118"/>
      <c r="H281" s="80" t="str">
        <f t="shared" si="49"/>
        <v/>
      </c>
      <c r="I281" s="80" t="str">
        <f t="shared" si="50"/>
        <v/>
      </c>
      <c r="J281" s="117"/>
      <c r="K281" s="117"/>
      <c r="L281" s="117"/>
      <c r="M281" s="84"/>
      <c r="O281" s="75" t="str">
        <f t="shared" si="51"/>
        <v/>
      </c>
      <c r="P281" s="75" t="str">
        <f t="shared" si="52"/>
        <v/>
      </c>
      <c r="Q281" s="75" t="str">
        <f t="shared" si="53"/>
        <v/>
      </c>
      <c r="R281" s="75" t="str">
        <f t="shared" si="54"/>
        <v/>
      </c>
      <c r="AB281" s="75" t="s">
        <v>1053</v>
      </c>
      <c r="AC281" s="75" t="s">
        <v>1054</v>
      </c>
      <c r="AD281" s="75" t="s">
        <v>5147</v>
      </c>
      <c r="AE281" s="75" t="s">
        <v>5148</v>
      </c>
      <c r="AF281" s="75" t="s">
        <v>5165</v>
      </c>
      <c r="AG281" s="75" t="s">
        <v>5173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7"/>
        <v/>
      </c>
      <c r="E282" s="85"/>
      <c r="F282" s="80" t="str">
        <f t="shared" si="48"/>
        <v/>
      </c>
      <c r="G282" s="118"/>
      <c r="H282" s="80" t="str">
        <f t="shared" si="49"/>
        <v/>
      </c>
      <c r="I282" s="80" t="str">
        <f t="shared" si="50"/>
        <v/>
      </c>
      <c r="J282" s="117"/>
      <c r="K282" s="117"/>
      <c r="L282" s="117"/>
      <c r="M282" s="84"/>
      <c r="O282" s="75" t="str">
        <f t="shared" si="51"/>
        <v/>
      </c>
      <c r="P282" s="75" t="str">
        <f t="shared" si="52"/>
        <v/>
      </c>
      <c r="Q282" s="75" t="str">
        <f t="shared" si="53"/>
        <v/>
      </c>
      <c r="R282" s="75" t="str">
        <f t="shared" si="54"/>
        <v/>
      </c>
      <c r="AB282" s="75" t="s">
        <v>1055</v>
      </c>
      <c r="AC282" s="75" t="s">
        <v>1056</v>
      </c>
      <c r="AD282" s="75" t="s">
        <v>5147</v>
      </c>
      <c r="AE282" s="75" t="s">
        <v>5148</v>
      </c>
      <c r="AF282" s="75" t="s">
        <v>5165</v>
      </c>
      <c r="AG282" s="75" t="s">
        <v>5173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7"/>
        <v/>
      </c>
      <c r="E283" s="85"/>
      <c r="F283" s="80" t="str">
        <f t="shared" si="48"/>
        <v/>
      </c>
      <c r="G283" s="118"/>
      <c r="H283" s="80" t="str">
        <f t="shared" si="49"/>
        <v/>
      </c>
      <c r="I283" s="80" t="str">
        <f t="shared" si="50"/>
        <v/>
      </c>
      <c r="J283" s="117"/>
      <c r="K283" s="117"/>
      <c r="L283" s="117"/>
      <c r="M283" s="84"/>
      <c r="O283" s="75" t="str">
        <f t="shared" si="51"/>
        <v/>
      </c>
      <c r="P283" s="75" t="str">
        <f t="shared" si="52"/>
        <v/>
      </c>
      <c r="Q283" s="75" t="str">
        <f t="shared" si="53"/>
        <v/>
      </c>
      <c r="R283" s="75" t="str">
        <f t="shared" si="54"/>
        <v/>
      </c>
      <c r="AB283" s="75" t="s">
        <v>1663</v>
      </c>
      <c r="AC283" s="75" t="s">
        <v>1664</v>
      </c>
      <c r="AD283" s="75" t="s">
        <v>5147</v>
      </c>
      <c r="AE283" s="75" t="s">
        <v>5148</v>
      </c>
      <c r="AF283" s="75" t="s">
        <v>5165</v>
      </c>
      <c r="AG283" s="75" t="s">
        <v>5173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7"/>
        <v/>
      </c>
      <c r="E284" s="85"/>
      <c r="F284" s="80" t="str">
        <f t="shared" si="48"/>
        <v/>
      </c>
      <c r="G284" s="118"/>
      <c r="H284" s="80" t="str">
        <f t="shared" si="49"/>
        <v/>
      </c>
      <c r="I284" s="80" t="str">
        <f t="shared" si="50"/>
        <v/>
      </c>
      <c r="J284" s="117"/>
      <c r="K284" s="117"/>
      <c r="L284" s="117"/>
      <c r="M284" s="84"/>
      <c r="O284" s="75" t="str">
        <f t="shared" si="51"/>
        <v/>
      </c>
      <c r="P284" s="75" t="str">
        <f t="shared" si="52"/>
        <v/>
      </c>
      <c r="Q284" s="75" t="str">
        <f t="shared" si="53"/>
        <v/>
      </c>
      <c r="R284" s="75" t="str">
        <f t="shared" si="54"/>
        <v/>
      </c>
      <c r="AB284" s="75" t="s">
        <v>1969</v>
      </c>
      <c r="AC284" s="75" t="s">
        <v>1970</v>
      </c>
      <c r="AD284" s="75" t="s">
        <v>5147</v>
      </c>
      <c r="AE284" s="75" t="s">
        <v>5148</v>
      </c>
      <c r="AF284" s="75" t="s">
        <v>5165</v>
      </c>
      <c r="AG284" s="75" t="s">
        <v>5173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7"/>
        <v/>
      </c>
      <c r="E285" s="85"/>
      <c r="F285" s="80" t="str">
        <f t="shared" si="48"/>
        <v/>
      </c>
      <c r="G285" s="118"/>
      <c r="H285" s="80" t="str">
        <f t="shared" si="49"/>
        <v/>
      </c>
      <c r="I285" s="80" t="str">
        <f t="shared" si="50"/>
        <v/>
      </c>
      <c r="J285" s="117"/>
      <c r="K285" s="117"/>
      <c r="L285" s="117"/>
      <c r="M285" s="84"/>
      <c r="O285" s="75" t="str">
        <f t="shared" si="51"/>
        <v/>
      </c>
      <c r="P285" s="75" t="str">
        <f t="shared" si="52"/>
        <v/>
      </c>
      <c r="Q285" s="75" t="str">
        <f t="shared" si="53"/>
        <v/>
      </c>
      <c r="R285" s="75" t="str">
        <f t="shared" si="54"/>
        <v/>
      </c>
      <c r="AB285" s="75" t="s">
        <v>3498</v>
      </c>
      <c r="AC285" s="75" t="s">
        <v>3499</v>
      </c>
      <c r="AD285" s="75" t="s">
        <v>5147</v>
      </c>
      <c r="AE285" s="75" t="s">
        <v>5148</v>
      </c>
      <c r="AF285" s="75" t="s">
        <v>5165</v>
      </c>
      <c r="AG285" s="75" t="s">
        <v>5173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7"/>
        <v/>
      </c>
      <c r="E286" s="85"/>
      <c r="F286" s="80" t="str">
        <f t="shared" si="48"/>
        <v/>
      </c>
      <c r="G286" s="118"/>
      <c r="H286" s="80" t="str">
        <f t="shared" si="49"/>
        <v/>
      </c>
      <c r="I286" s="80" t="str">
        <f t="shared" si="50"/>
        <v/>
      </c>
      <c r="J286" s="117"/>
      <c r="K286" s="117"/>
      <c r="L286" s="117"/>
      <c r="M286" s="84"/>
      <c r="O286" s="75" t="str">
        <f t="shared" si="51"/>
        <v/>
      </c>
      <c r="P286" s="75" t="str">
        <f t="shared" si="52"/>
        <v/>
      </c>
      <c r="Q286" s="75" t="str">
        <f t="shared" si="53"/>
        <v/>
      </c>
      <c r="R286" s="75" t="str">
        <f t="shared" si="54"/>
        <v/>
      </c>
      <c r="AB286" s="75" t="s">
        <v>3500</v>
      </c>
      <c r="AC286" s="75" t="s">
        <v>3501</v>
      </c>
      <c r="AD286" s="75" t="s">
        <v>5147</v>
      </c>
      <c r="AE286" s="75" t="s">
        <v>5148</v>
      </c>
      <c r="AF286" s="75" t="s">
        <v>5165</v>
      </c>
      <c r="AG286" s="75" t="s">
        <v>5173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7"/>
        <v/>
      </c>
      <c r="E287" s="85"/>
      <c r="F287" s="80" t="str">
        <f t="shared" si="48"/>
        <v/>
      </c>
      <c r="G287" s="118"/>
      <c r="H287" s="80" t="str">
        <f t="shared" si="49"/>
        <v/>
      </c>
      <c r="I287" s="80" t="str">
        <f t="shared" si="50"/>
        <v/>
      </c>
      <c r="J287" s="117"/>
      <c r="K287" s="117"/>
      <c r="L287" s="117"/>
      <c r="M287" s="84"/>
      <c r="O287" s="75" t="str">
        <f t="shared" si="51"/>
        <v/>
      </c>
      <c r="P287" s="75" t="str">
        <f t="shared" si="52"/>
        <v/>
      </c>
      <c r="Q287" s="75" t="str">
        <f t="shared" si="53"/>
        <v/>
      </c>
      <c r="R287" s="75" t="str">
        <f t="shared" si="54"/>
        <v/>
      </c>
      <c r="AB287" s="75" t="s">
        <v>1971</v>
      </c>
      <c r="AC287" s="75" t="s">
        <v>1972</v>
      </c>
      <c r="AD287" s="75" t="s">
        <v>5147</v>
      </c>
      <c r="AE287" s="75" t="s">
        <v>5148</v>
      </c>
      <c r="AF287" s="75" t="s">
        <v>5165</v>
      </c>
      <c r="AG287" s="75" t="s">
        <v>5173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7"/>
        <v/>
      </c>
      <c r="E288" s="85"/>
      <c r="F288" s="80" t="str">
        <f t="shared" si="48"/>
        <v/>
      </c>
      <c r="G288" s="118"/>
      <c r="H288" s="80" t="str">
        <f t="shared" si="49"/>
        <v/>
      </c>
      <c r="I288" s="80" t="str">
        <f t="shared" si="50"/>
        <v/>
      </c>
      <c r="J288" s="117"/>
      <c r="K288" s="117"/>
      <c r="L288" s="117"/>
      <c r="M288" s="84"/>
      <c r="O288" s="75" t="str">
        <f t="shared" si="51"/>
        <v/>
      </c>
      <c r="P288" s="75" t="str">
        <f t="shared" si="52"/>
        <v/>
      </c>
      <c r="Q288" s="75" t="str">
        <f t="shared" si="53"/>
        <v/>
      </c>
      <c r="R288" s="75" t="str">
        <f t="shared" si="54"/>
        <v/>
      </c>
      <c r="AB288" s="75" t="s">
        <v>1057</v>
      </c>
      <c r="AC288" s="75" t="s">
        <v>1058</v>
      </c>
      <c r="AD288" s="75" t="s">
        <v>5147</v>
      </c>
      <c r="AE288" s="75" t="s">
        <v>5148</v>
      </c>
      <c r="AF288" s="75" t="s">
        <v>5165</v>
      </c>
      <c r="AG288" s="75" t="s">
        <v>5173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7"/>
        <v/>
      </c>
      <c r="E289" s="85"/>
      <c r="F289" s="80" t="str">
        <f t="shared" si="48"/>
        <v/>
      </c>
      <c r="G289" s="118"/>
      <c r="H289" s="80" t="str">
        <f t="shared" si="49"/>
        <v/>
      </c>
      <c r="I289" s="80" t="str">
        <f t="shared" si="50"/>
        <v/>
      </c>
      <c r="J289" s="117"/>
      <c r="K289" s="117"/>
      <c r="L289" s="117"/>
      <c r="M289" s="84"/>
      <c r="O289" s="75" t="str">
        <f t="shared" si="51"/>
        <v/>
      </c>
      <c r="P289" s="75" t="str">
        <f t="shared" si="52"/>
        <v/>
      </c>
      <c r="Q289" s="75" t="str">
        <f t="shared" si="53"/>
        <v/>
      </c>
      <c r="R289" s="75" t="str">
        <f t="shared" si="54"/>
        <v/>
      </c>
      <c r="AB289" s="75" t="s">
        <v>1059</v>
      </c>
      <c r="AC289" s="75" t="s">
        <v>1060</v>
      </c>
      <c r="AD289" s="75" t="s">
        <v>5147</v>
      </c>
      <c r="AE289" s="75" t="s">
        <v>5148</v>
      </c>
      <c r="AF289" s="75" t="s">
        <v>5165</v>
      </c>
      <c r="AG289" s="75" t="s">
        <v>5173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7"/>
        <v/>
      </c>
      <c r="E290" s="85"/>
      <c r="F290" s="80" t="str">
        <f t="shared" si="48"/>
        <v/>
      </c>
      <c r="G290" s="118"/>
      <c r="H290" s="80" t="str">
        <f t="shared" si="49"/>
        <v/>
      </c>
      <c r="I290" s="80" t="str">
        <f t="shared" si="50"/>
        <v/>
      </c>
      <c r="J290" s="117"/>
      <c r="K290" s="117"/>
      <c r="L290" s="117"/>
      <c r="M290" s="84"/>
      <c r="O290" s="75" t="str">
        <f t="shared" si="51"/>
        <v/>
      </c>
      <c r="P290" s="75" t="str">
        <f t="shared" si="52"/>
        <v/>
      </c>
      <c r="Q290" s="75" t="str">
        <f t="shared" si="53"/>
        <v/>
      </c>
      <c r="R290" s="75" t="str">
        <f t="shared" si="54"/>
        <v/>
      </c>
      <c r="AB290" s="75" t="s">
        <v>1061</v>
      </c>
      <c r="AC290" s="75" t="s">
        <v>684</v>
      </c>
      <c r="AD290" s="75" t="s">
        <v>5147</v>
      </c>
      <c r="AE290" s="75" t="s">
        <v>5148</v>
      </c>
      <c r="AF290" s="75" t="s">
        <v>5165</v>
      </c>
      <c r="AG290" s="75" t="s">
        <v>5173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7"/>
        <v/>
      </c>
      <c r="E291" s="85"/>
      <c r="F291" s="80" t="str">
        <f t="shared" si="48"/>
        <v/>
      </c>
      <c r="G291" s="118"/>
      <c r="H291" s="80" t="str">
        <f t="shared" si="49"/>
        <v/>
      </c>
      <c r="I291" s="80" t="str">
        <f t="shared" si="50"/>
        <v/>
      </c>
      <c r="J291" s="117"/>
      <c r="K291" s="117"/>
      <c r="L291" s="117"/>
      <c r="M291" s="84"/>
      <c r="O291" s="75" t="str">
        <f t="shared" si="51"/>
        <v/>
      </c>
      <c r="P291" s="75" t="str">
        <f t="shared" si="52"/>
        <v/>
      </c>
      <c r="Q291" s="75" t="str">
        <f t="shared" si="53"/>
        <v/>
      </c>
      <c r="R291" s="75" t="str">
        <f t="shared" si="54"/>
        <v/>
      </c>
      <c r="AB291" s="75" t="s">
        <v>1064</v>
      </c>
      <c r="AC291" s="75" t="s">
        <v>1065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7"/>
        <v/>
      </c>
      <c r="E292" s="85"/>
      <c r="F292" s="80" t="str">
        <f t="shared" si="48"/>
        <v/>
      </c>
      <c r="G292" s="118"/>
      <c r="H292" s="80" t="str">
        <f t="shared" si="49"/>
        <v/>
      </c>
      <c r="I292" s="80" t="str">
        <f t="shared" si="50"/>
        <v/>
      </c>
      <c r="J292" s="117"/>
      <c r="K292" s="117"/>
      <c r="L292" s="117"/>
      <c r="M292" s="84"/>
      <c r="O292" s="75" t="str">
        <f t="shared" si="51"/>
        <v/>
      </c>
      <c r="P292" s="75" t="str">
        <f t="shared" si="52"/>
        <v/>
      </c>
      <c r="Q292" s="75" t="str">
        <f t="shared" si="53"/>
        <v/>
      </c>
      <c r="R292" s="75" t="str">
        <f t="shared" si="54"/>
        <v/>
      </c>
      <c r="AB292" s="75" t="s">
        <v>1066</v>
      </c>
      <c r="AC292" s="75" t="s">
        <v>1665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7"/>
        <v/>
      </c>
      <c r="E293" s="85"/>
      <c r="F293" s="80" t="str">
        <f t="shared" si="48"/>
        <v/>
      </c>
      <c r="G293" s="118"/>
      <c r="H293" s="80" t="str">
        <f t="shared" si="49"/>
        <v/>
      </c>
      <c r="I293" s="80" t="str">
        <f t="shared" si="50"/>
        <v/>
      </c>
      <c r="J293" s="117"/>
      <c r="K293" s="117"/>
      <c r="L293" s="117"/>
      <c r="M293" s="84"/>
      <c r="O293" s="75" t="str">
        <f t="shared" si="51"/>
        <v/>
      </c>
      <c r="P293" s="75" t="str">
        <f t="shared" si="52"/>
        <v/>
      </c>
      <c r="Q293" s="75" t="str">
        <f t="shared" si="53"/>
        <v/>
      </c>
      <c r="R293" s="75" t="str">
        <f t="shared" si="54"/>
        <v/>
      </c>
      <c r="AB293" s="75" t="s">
        <v>1067</v>
      </c>
      <c r="AC293" s="75" t="s">
        <v>1068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7"/>
        <v/>
      </c>
      <c r="E294" s="85"/>
      <c r="F294" s="80" t="str">
        <f t="shared" si="48"/>
        <v/>
      </c>
      <c r="G294" s="118"/>
      <c r="H294" s="80" t="str">
        <f t="shared" si="49"/>
        <v/>
      </c>
      <c r="I294" s="80" t="str">
        <f t="shared" si="50"/>
        <v/>
      </c>
      <c r="J294" s="117"/>
      <c r="K294" s="117"/>
      <c r="L294" s="117"/>
      <c r="M294" s="84"/>
      <c r="O294" s="75" t="str">
        <f t="shared" si="51"/>
        <v/>
      </c>
      <c r="P294" s="75" t="str">
        <f t="shared" si="52"/>
        <v/>
      </c>
      <c r="Q294" s="75" t="str">
        <f t="shared" si="53"/>
        <v/>
      </c>
      <c r="R294" s="75" t="str">
        <f t="shared" si="54"/>
        <v/>
      </c>
      <c r="AB294" s="75" t="s">
        <v>3502</v>
      </c>
      <c r="AC294" s="75" t="s">
        <v>3503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7"/>
        <v/>
      </c>
      <c r="E295" s="85"/>
      <c r="F295" s="80" t="str">
        <f t="shared" si="48"/>
        <v/>
      </c>
      <c r="G295" s="118"/>
      <c r="H295" s="80" t="str">
        <f t="shared" si="49"/>
        <v/>
      </c>
      <c r="I295" s="80" t="str">
        <f t="shared" si="50"/>
        <v/>
      </c>
      <c r="J295" s="117"/>
      <c r="K295" s="117"/>
      <c r="L295" s="117"/>
      <c r="M295" s="84"/>
      <c r="O295" s="75" t="str">
        <f t="shared" si="51"/>
        <v/>
      </c>
      <c r="P295" s="75" t="str">
        <f t="shared" si="52"/>
        <v/>
      </c>
      <c r="Q295" s="75" t="str">
        <f t="shared" si="53"/>
        <v/>
      </c>
      <c r="R295" s="75" t="str">
        <f t="shared" si="54"/>
        <v/>
      </c>
      <c r="AB295" s="75" t="s">
        <v>1069</v>
      </c>
      <c r="AC295" s="75" t="s">
        <v>1070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7"/>
        <v/>
      </c>
      <c r="E296" s="85"/>
      <c r="F296" s="80" t="str">
        <f t="shared" si="48"/>
        <v/>
      </c>
      <c r="G296" s="118"/>
      <c r="H296" s="80" t="str">
        <f t="shared" si="49"/>
        <v/>
      </c>
      <c r="I296" s="80" t="str">
        <f t="shared" si="50"/>
        <v/>
      </c>
      <c r="J296" s="117"/>
      <c r="K296" s="117"/>
      <c r="L296" s="117"/>
      <c r="M296" s="84"/>
      <c r="O296" s="75" t="str">
        <f t="shared" si="51"/>
        <v/>
      </c>
      <c r="P296" s="75" t="str">
        <f t="shared" si="52"/>
        <v/>
      </c>
      <c r="Q296" s="75" t="str">
        <f t="shared" si="53"/>
        <v/>
      </c>
      <c r="R296" s="75" t="str">
        <f t="shared" si="54"/>
        <v/>
      </c>
      <c r="AB296" s="75" t="s">
        <v>2009</v>
      </c>
      <c r="AC296" s="75" t="s">
        <v>2010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7"/>
        <v/>
      </c>
      <c r="E297" s="85"/>
      <c r="F297" s="80" t="str">
        <f t="shared" si="48"/>
        <v/>
      </c>
      <c r="G297" s="118"/>
      <c r="H297" s="80" t="str">
        <f t="shared" si="49"/>
        <v/>
      </c>
      <c r="I297" s="80" t="str">
        <f t="shared" si="50"/>
        <v/>
      </c>
      <c r="J297" s="117"/>
      <c r="K297" s="117"/>
      <c r="L297" s="117"/>
      <c r="M297" s="84"/>
      <c r="O297" s="75" t="str">
        <f t="shared" si="51"/>
        <v/>
      </c>
      <c r="P297" s="75" t="str">
        <f t="shared" si="52"/>
        <v/>
      </c>
      <c r="Q297" s="75" t="str">
        <f t="shared" si="53"/>
        <v/>
      </c>
      <c r="R297" s="75" t="str">
        <f t="shared" si="54"/>
        <v/>
      </c>
      <c r="AB297" s="75" t="s">
        <v>2011</v>
      </c>
      <c r="AC297" s="75" t="s">
        <v>3504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7"/>
        <v/>
      </c>
      <c r="E298" s="85"/>
      <c r="F298" s="80" t="str">
        <f t="shared" si="48"/>
        <v/>
      </c>
      <c r="G298" s="118"/>
      <c r="H298" s="80" t="str">
        <f t="shared" si="49"/>
        <v/>
      </c>
      <c r="I298" s="80" t="str">
        <f t="shared" si="50"/>
        <v/>
      </c>
      <c r="J298" s="117"/>
      <c r="K298" s="117"/>
      <c r="L298" s="117"/>
      <c r="M298" s="84"/>
      <c r="O298" s="75" t="str">
        <f t="shared" si="51"/>
        <v/>
      </c>
      <c r="P298" s="75" t="str">
        <f t="shared" si="52"/>
        <v/>
      </c>
      <c r="Q298" s="75" t="str">
        <f t="shared" si="53"/>
        <v/>
      </c>
      <c r="R298" s="75" t="str">
        <f t="shared" si="54"/>
        <v/>
      </c>
      <c r="AB298" s="75" t="s">
        <v>1073</v>
      </c>
      <c r="AC298" s="75" t="s">
        <v>1074</v>
      </c>
      <c r="AD298" s="75" t="s">
        <v>5143</v>
      </c>
      <c r="AE298" s="75" t="s">
        <v>5144</v>
      </c>
      <c r="AF298" s="75" t="s">
        <v>5165</v>
      </c>
      <c r="AG298" s="75" t="s">
        <v>5175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7"/>
        <v/>
      </c>
      <c r="E299" s="85"/>
      <c r="F299" s="80" t="str">
        <f t="shared" si="48"/>
        <v/>
      </c>
      <c r="G299" s="118"/>
      <c r="H299" s="80" t="str">
        <f t="shared" si="49"/>
        <v/>
      </c>
      <c r="I299" s="80" t="str">
        <f t="shared" si="50"/>
        <v/>
      </c>
      <c r="J299" s="117"/>
      <c r="K299" s="117"/>
      <c r="L299" s="117"/>
      <c r="M299" s="84"/>
      <c r="O299" s="75" t="str">
        <f t="shared" si="51"/>
        <v/>
      </c>
      <c r="P299" s="75" t="str">
        <f t="shared" si="52"/>
        <v/>
      </c>
      <c r="Q299" s="75" t="str">
        <f t="shared" si="53"/>
        <v/>
      </c>
      <c r="R299" s="75" t="str">
        <f t="shared" si="54"/>
        <v/>
      </c>
      <c r="AB299" s="75" t="s">
        <v>1075</v>
      </c>
      <c r="AC299" s="75" t="s">
        <v>1076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7"/>
        <v/>
      </c>
      <c r="E300" s="85"/>
      <c r="F300" s="80" t="str">
        <f t="shared" si="48"/>
        <v/>
      </c>
      <c r="G300" s="118"/>
      <c r="H300" s="80" t="str">
        <f t="shared" si="49"/>
        <v/>
      </c>
      <c r="I300" s="80" t="str">
        <f t="shared" si="50"/>
        <v/>
      </c>
      <c r="J300" s="117"/>
      <c r="K300" s="117"/>
      <c r="L300" s="117"/>
      <c r="M300" s="84"/>
      <c r="O300" s="75" t="str">
        <f t="shared" si="51"/>
        <v/>
      </c>
      <c r="P300" s="75" t="str">
        <f t="shared" si="52"/>
        <v/>
      </c>
      <c r="Q300" s="75" t="str">
        <f t="shared" si="53"/>
        <v/>
      </c>
      <c r="R300" s="75" t="str">
        <f t="shared" si="54"/>
        <v/>
      </c>
      <c r="AB300" s="75" t="s">
        <v>1077</v>
      </c>
      <c r="AC300" s="75" t="s">
        <v>1078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7"/>
        <v/>
      </c>
      <c r="E301" s="85"/>
      <c r="F301" s="80" t="str">
        <f t="shared" si="48"/>
        <v/>
      </c>
      <c r="G301" s="118"/>
      <c r="H301" s="80" t="str">
        <f t="shared" si="49"/>
        <v/>
      </c>
      <c r="I301" s="80" t="str">
        <f t="shared" si="50"/>
        <v/>
      </c>
      <c r="J301" s="117"/>
      <c r="K301" s="117"/>
      <c r="L301" s="117"/>
      <c r="M301" s="84"/>
      <c r="O301" s="75" t="str">
        <f t="shared" si="51"/>
        <v/>
      </c>
      <c r="P301" s="75" t="str">
        <f t="shared" si="52"/>
        <v/>
      </c>
      <c r="Q301" s="75" t="str">
        <f t="shared" si="53"/>
        <v/>
      </c>
      <c r="R301" s="75" t="str">
        <f t="shared" si="54"/>
        <v/>
      </c>
      <c r="AB301" s="75" t="s">
        <v>1079</v>
      </c>
      <c r="AC301" s="75" t="s">
        <v>1080</v>
      </c>
      <c r="AD301" s="75" t="s">
        <v>5143</v>
      </c>
      <c r="AE301" s="75" t="s">
        <v>5144</v>
      </c>
      <c r="AF301" s="75" t="s">
        <v>5165</v>
      </c>
      <c r="AG301" s="75" t="s">
        <v>5175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7"/>
        <v/>
      </c>
      <c r="E302" s="85"/>
      <c r="F302" s="80" t="str">
        <f t="shared" si="48"/>
        <v/>
      </c>
      <c r="G302" s="118"/>
      <c r="H302" s="80" t="str">
        <f t="shared" si="49"/>
        <v/>
      </c>
      <c r="I302" s="80" t="str">
        <f t="shared" si="50"/>
        <v/>
      </c>
      <c r="J302" s="117"/>
      <c r="K302" s="117"/>
      <c r="L302" s="117"/>
      <c r="M302" s="84"/>
      <c r="O302" s="75" t="str">
        <f t="shared" si="51"/>
        <v/>
      </c>
      <c r="P302" s="75" t="str">
        <f t="shared" si="52"/>
        <v/>
      </c>
      <c r="Q302" s="75" t="str">
        <f t="shared" si="53"/>
        <v/>
      </c>
      <c r="R302" s="75" t="str">
        <f t="shared" si="54"/>
        <v/>
      </c>
      <c r="AB302" s="75" t="s">
        <v>1081</v>
      </c>
      <c r="AC302" s="75" t="s">
        <v>1082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7"/>
        <v/>
      </c>
      <c r="E303" s="85"/>
      <c r="F303" s="80" t="str">
        <f t="shared" si="48"/>
        <v/>
      </c>
      <c r="G303" s="118"/>
      <c r="H303" s="80" t="str">
        <f t="shared" si="49"/>
        <v/>
      </c>
      <c r="I303" s="80" t="str">
        <f t="shared" si="50"/>
        <v/>
      </c>
      <c r="J303" s="117"/>
      <c r="K303" s="117"/>
      <c r="L303" s="117"/>
      <c r="M303" s="84"/>
      <c r="O303" s="75" t="str">
        <f t="shared" si="51"/>
        <v/>
      </c>
      <c r="P303" s="75" t="str">
        <f t="shared" si="52"/>
        <v/>
      </c>
      <c r="Q303" s="75" t="str">
        <f t="shared" si="53"/>
        <v/>
      </c>
      <c r="R303" s="75" t="str">
        <f t="shared" si="54"/>
        <v/>
      </c>
      <c r="AB303" s="75" t="s">
        <v>1083</v>
      </c>
      <c r="AC303" s="75" t="s">
        <v>1084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7"/>
        <v/>
      </c>
      <c r="E304" s="85"/>
      <c r="F304" s="80" t="str">
        <f t="shared" si="48"/>
        <v/>
      </c>
      <c r="G304" s="118"/>
      <c r="H304" s="80" t="str">
        <f t="shared" si="49"/>
        <v/>
      </c>
      <c r="I304" s="80" t="str">
        <f t="shared" si="50"/>
        <v/>
      </c>
      <c r="J304" s="117"/>
      <c r="K304" s="117"/>
      <c r="L304" s="117"/>
      <c r="M304" s="84"/>
      <c r="O304" s="75" t="str">
        <f t="shared" si="51"/>
        <v/>
      </c>
      <c r="P304" s="75" t="str">
        <f t="shared" si="52"/>
        <v/>
      </c>
      <c r="Q304" s="75" t="str">
        <f t="shared" si="53"/>
        <v/>
      </c>
      <c r="R304" s="75" t="str">
        <f t="shared" si="54"/>
        <v/>
      </c>
      <c r="AB304" s="75" t="s">
        <v>1085</v>
      </c>
      <c r="AC304" s="75" t="s">
        <v>1086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7"/>
        <v/>
      </c>
      <c r="E305" s="85"/>
      <c r="F305" s="80" t="str">
        <f t="shared" si="48"/>
        <v/>
      </c>
      <c r="G305" s="118"/>
      <c r="H305" s="80" t="str">
        <f t="shared" si="49"/>
        <v/>
      </c>
      <c r="I305" s="80" t="str">
        <f t="shared" si="50"/>
        <v/>
      </c>
      <c r="J305" s="117"/>
      <c r="K305" s="117"/>
      <c r="L305" s="117"/>
      <c r="M305" s="84"/>
      <c r="O305" s="75" t="str">
        <f t="shared" si="51"/>
        <v/>
      </c>
      <c r="P305" s="75" t="str">
        <f t="shared" si="52"/>
        <v/>
      </c>
      <c r="Q305" s="75" t="str">
        <f t="shared" si="53"/>
        <v/>
      </c>
      <c r="R305" s="75" t="str">
        <f t="shared" si="54"/>
        <v/>
      </c>
      <c r="AB305" s="75" t="s">
        <v>1087</v>
      </c>
      <c r="AC305" s="75" t="s">
        <v>1088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7"/>
        <v/>
      </c>
      <c r="E306" s="85"/>
      <c r="F306" s="80" t="str">
        <f t="shared" si="48"/>
        <v/>
      </c>
      <c r="G306" s="118"/>
      <c r="H306" s="80" t="str">
        <f t="shared" si="49"/>
        <v/>
      </c>
      <c r="I306" s="80" t="str">
        <f t="shared" si="50"/>
        <v/>
      </c>
      <c r="J306" s="117"/>
      <c r="K306" s="117"/>
      <c r="L306" s="117"/>
      <c r="M306" s="84"/>
      <c r="O306" s="75" t="str">
        <f t="shared" si="51"/>
        <v/>
      </c>
      <c r="P306" s="75" t="str">
        <f t="shared" si="52"/>
        <v/>
      </c>
      <c r="Q306" s="75" t="str">
        <f t="shared" si="53"/>
        <v/>
      </c>
      <c r="R306" s="75" t="str">
        <f t="shared" si="54"/>
        <v/>
      </c>
      <c r="AB306" s="75" t="s">
        <v>1089</v>
      </c>
      <c r="AC306" s="75" t="s">
        <v>1090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7"/>
        <v/>
      </c>
      <c r="E307" s="85"/>
      <c r="F307" s="80" t="str">
        <f t="shared" si="48"/>
        <v/>
      </c>
      <c r="G307" s="118"/>
      <c r="H307" s="80" t="str">
        <f t="shared" si="49"/>
        <v/>
      </c>
      <c r="I307" s="80" t="str">
        <f t="shared" si="50"/>
        <v/>
      </c>
      <c r="J307" s="117"/>
      <c r="K307" s="117"/>
      <c r="L307" s="117"/>
      <c r="M307" s="84"/>
      <c r="O307" s="75" t="str">
        <f t="shared" si="51"/>
        <v/>
      </c>
      <c r="P307" s="75" t="str">
        <f t="shared" si="52"/>
        <v/>
      </c>
      <c r="Q307" s="75" t="str">
        <f t="shared" si="53"/>
        <v/>
      </c>
      <c r="R307" s="75" t="str">
        <f t="shared" si="54"/>
        <v/>
      </c>
      <c r="AB307" s="75" t="s">
        <v>1091</v>
      </c>
      <c r="AC307" s="75" t="s">
        <v>3505</v>
      </c>
      <c r="AD307" s="75" t="s">
        <v>5143</v>
      </c>
      <c r="AE307" s="75" t="s">
        <v>5144</v>
      </c>
      <c r="AF307" s="75" t="s">
        <v>5165</v>
      </c>
      <c r="AG307" s="75" t="s">
        <v>5175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7"/>
        <v/>
      </c>
      <c r="E308" s="85"/>
      <c r="F308" s="80" t="str">
        <f t="shared" si="48"/>
        <v/>
      </c>
      <c r="G308" s="118"/>
      <c r="H308" s="80" t="str">
        <f t="shared" si="49"/>
        <v/>
      </c>
      <c r="I308" s="80" t="str">
        <f t="shared" si="50"/>
        <v/>
      </c>
      <c r="J308" s="117"/>
      <c r="K308" s="117"/>
      <c r="L308" s="117"/>
      <c r="M308" s="84"/>
      <c r="O308" s="75" t="str">
        <f t="shared" si="51"/>
        <v/>
      </c>
      <c r="P308" s="75" t="str">
        <f t="shared" si="52"/>
        <v/>
      </c>
      <c r="Q308" s="75" t="str">
        <f t="shared" si="53"/>
        <v/>
      </c>
      <c r="R308" s="75" t="str">
        <f t="shared" si="54"/>
        <v/>
      </c>
      <c r="AB308" s="75" t="s">
        <v>1092</v>
      </c>
      <c r="AC308" s="75" t="s">
        <v>1666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7"/>
        <v/>
      </c>
      <c r="E309" s="85"/>
      <c r="F309" s="80" t="str">
        <f t="shared" si="48"/>
        <v/>
      </c>
      <c r="G309" s="118"/>
      <c r="H309" s="80" t="str">
        <f t="shared" si="49"/>
        <v/>
      </c>
      <c r="I309" s="80" t="str">
        <f t="shared" si="50"/>
        <v/>
      </c>
      <c r="J309" s="117"/>
      <c r="K309" s="117"/>
      <c r="L309" s="117"/>
      <c r="M309" s="84"/>
      <c r="O309" s="75" t="str">
        <f t="shared" si="51"/>
        <v/>
      </c>
      <c r="P309" s="75" t="str">
        <f t="shared" si="52"/>
        <v/>
      </c>
      <c r="Q309" s="75" t="str">
        <f t="shared" si="53"/>
        <v/>
      </c>
      <c r="R309" s="75" t="str">
        <f t="shared" si="54"/>
        <v/>
      </c>
      <c r="AB309" s="75" t="s">
        <v>1093</v>
      </c>
      <c r="AC309" s="75" t="s">
        <v>1667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7"/>
        <v/>
      </c>
      <c r="E310" s="85"/>
      <c r="F310" s="80" t="str">
        <f t="shared" si="48"/>
        <v/>
      </c>
      <c r="G310" s="118"/>
      <c r="H310" s="80" t="str">
        <f t="shared" si="49"/>
        <v/>
      </c>
      <c r="I310" s="80" t="str">
        <f t="shared" si="50"/>
        <v/>
      </c>
      <c r="J310" s="117"/>
      <c r="K310" s="117"/>
      <c r="L310" s="117"/>
      <c r="M310" s="84"/>
      <c r="O310" s="75" t="str">
        <f t="shared" si="51"/>
        <v/>
      </c>
      <c r="P310" s="75" t="str">
        <f t="shared" si="52"/>
        <v/>
      </c>
      <c r="Q310" s="75" t="str">
        <f t="shared" si="53"/>
        <v/>
      </c>
      <c r="R310" s="75" t="str">
        <f t="shared" si="54"/>
        <v/>
      </c>
      <c r="AB310" s="75" t="s">
        <v>1094</v>
      </c>
      <c r="AC310" s="75" t="s">
        <v>1668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7"/>
        <v/>
      </c>
      <c r="E311" s="85"/>
      <c r="F311" s="80" t="str">
        <f t="shared" si="48"/>
        <v/>
      </c>
      <c r="G311" s="118"/>
      <c r="H311" s="80" t="str">
        <f t="shared" si="49"/>
        <v/>
      </c>
      <c r="I311" s="80" t="str">
        <f t="shared" si="50"/>
        <v/>
      </c>
      <c r="J311" s="117"/>
      <c r="K311" s="117"/>
      <c r="L311" s="117"/>
      <c r="M311" s="84"/>
      <c r="O311" s="75" t="str">
        <f t="shared" si="51"/>
        <v/>
      </c>
      <c r="P311" s="75" t="str">
        <f t="shared" si="52"/>
        <v/>
      </c>
      <c r="Q311" s="75" t="str">
        <f t="shared" si="53"/>
        <v/>
      </c>
      <c r="R311" s="75" t="str">
        <f t="shared" si="54"/>
        <v/>
      </c>
      <c r="AB311" s="75" t="s">
        <v>1095</v>
      </c>
      <c r="AC311" s="75" t="s">
        <v>1096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7"/>
        <v/>
      </c>
      <c r="E312" s="85"/>
      <c r="F312" s="80" t="str">
        <f t="shared" si="48"/>
        <v/>
      </c>
      <c r="G312" s="118"/>
      <c r="H312" s="80" t="str">
        <f t="shared" si="49"/>
        <v/>
      </c>
      <c r="I312" s="80" t="str">
        <f t="shared" si="50"/>
        <v/>
      </c>
      <c r="J312" s="117"/>
      <c r="K312" s="117"/>
      <c r="L312" s="117"/>
      <c r="M312" s="84"/>
      <c r="O312" s="75" t="str">
        <f t="shared" si="51"/>
        <v/>
      </c>
      <c r="P312" s="75" t="str">
        <f t="shared" si="52"/>
        <v/>
      </c>
      <c r="Q312" s="75" t="str">
        <f t="shared" si="53"/>
        <v/>
      </c>
      <c r="R312" s="75" t="str">
        <f t="shared" si="54"/>
        <v/>
      </c>
      <c r="AB312" s="75" t="s">
        <v>1097</v>
      </c>
      <c r="AC312" s="75" t="s">
        <v>1669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7"/>
        <v/>
      </c>
      <c r="E313" s="85"/>
      <c r="F313" s="80" t="str">
        <f t="shared" si="48"/>
        <v/>
      </c>
      <c r="G313" s="118"/>
      <c r="H313" s="80" t="str">
        <f t="shared" si="49"/>
        <v/>
      </c>
      <c r="I313" s="80" t="str">
        <f t="shared" si="50"/>
        <v/>
      </c>
      <c r="J313" s="117"/>
      <c r="K313" s="117"/>
      <c r="L313" s="117"/>
      <c r="M313" s="84"/>
      <c r="O313" s="75" t="str">
        <f t="shared" si="51"/>
        <v/>
      </c>
      <c r="P313" s="75" t="str">
        <f t="shared" si="52"/>
        <v/>
      </c>
      <c r="Q313" s="75" t="str">
        <f t="shared" si="53"/>
        <v/>
      </c>
      <c r="R313" s="75" t="str">
        <f t="shared" si="54"/>
        <v/>
      </c>
      <c r="AB313" s="75" t="s">
        <v>1098</v>
      </c>
      <c r="AC313" s="75" t="s">
        <v>1670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7"/>
        <v/>
      </c>
      <c r="E314" s="85"/>
      <c r="F314" s="80" t="str">
        <f t="shared" si="48"/>
        <v/>
      </c>
      <c r="G314" s="118"/>
      <c r="H314" s="80" t="str">
        <f t="shared" si="49"/>
        <v/>
      </c>
      <c r="I314" s="80" t="str">
        <f t="shared" si="50"/>
        <v/>
      </c>
      <c r="J314" s="117"/>
      <c r="K314" s="117"/>
      <c r="L314" s="117"/>
      <c r="M314" s="84"/>
      <c r="O314" s="75" t="str">
        <f t="shared" si="51"/>
        <v/>
      </c>
      <c r="P314" s="75" t="str">
        <f t="shared" si="52"/>
        <v/>
      </c>
      <c r="Q314" s="75" t="str">
        <f t="shared" si="53"/>
        <v/>
      </c>
      <c r="R314" s="75" t="str">
        <f t="shared" si="54"/>
        <v/>
      </c>
      <c r="AB314" s="75" t="s">
        <v>1099</v>
      </c>
      <c r="AC314" s="75" t="s">
        <v>1100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7"/>
        <v/>
      </c>
      <c r="E315" s="85"/>
      <c r="F315" s="80" t="str">
        <f t="shared" si="48"/>
        <v/>
      </c>
      <c r="G315" s="118"/>
      <c r="H315" s="80" t="str">
        <f t="shared" si="49"/>
        <v/>
      </c>
      <c r="I315" s="80" t="str">
        <f t="shared" si="50"/>
        <v/>
      </c>
      <c r="J315" s="117"/>
      <c r="K315" s="117"/>
      <c r="L315" s="117"/>
      <c r="M315" s="84"/>
      <c r="O315" s="75" t="str">
        <f t="shared" si="51"/>
        <v/>
      </c>
      <c r="P315" s="75" t="str">
        <f t="shared" si="52"/>
        <v/>
      </c>
      <c r="Q315" s="75" t="str">
        <f t="shared" si="53"/>
        <v/>
      </c>
      <c r="R315" s="75" t="str">
        <f t="shared" si="54"/>
        <v/>
      </c>
      <c r="AB315" s="75" t="s">
        <v>1101</v>
      </c>
      <c r="AC315" s="75" t="s">
        <v>1102</v>
      </c>
      <c r="AD315" s="75" t="s">
        <v>5143</v>
      </c>
      <c r="AE315" s="75" t="s">
        <v>5144</v>
      </c>
      <c r="AF315" s="75" t="s">
        <v>5165</v>
      </c>
      <c r="AG315" s="75" t="s">
        <v>5175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7"/>
        <v/>
      </c>
      <c r="E316" s="85"/>
      <c r="F316" s="80" t="str">
        <f t="shared" si="48"/>
        <v/>
      </c>
      <c r="G316" s="118"/>
      <c r="H316" s="80" t="str">
        <f t="shared" si="49"/>
        <v/>
      </c>
      <c r="I316" s="80" t="str">
        <f t="shared" si="50"/>
        <v/>
      </c>
      <c r="J316" s="117"/>
      <c r="K316" s="117"/>
      <c r="L316" s="117"/>
      <c r="M316" s="84"/>
      <c r="O316" s="75" t="str">
        <f t="shared" si="51"/>
        <v/>
      </c>
      <c r="P316" s="75" t="str">
        <f t="shared" si="52"/>
        <v/>
      </c>
      <c r="Q316" s="75" t="str">
        <f t="shared" si="53"/>
        <v/>
      </c>
      <c r="R316" s="75" t="str">
        <f t="shared" si="54"/>
        <v/>
      </c>
      <c r="AB316" s="75" t="s">
        <v>1957</v>
      </c>
      <c r="AC316" s="75" t="s">
        <v>1958</v>
      </c>
      <c r="AD316" s="75" t="s">
        <v>5143</v>
      </c>
      <c r="AE316" s="75" t="s">
        <v>5144</v>
      </c>
      <c r="AF316" s="75" t="s">
        <v>5165</v>
      </c>
      <c r="AG316" s="75" t="s">
        <v>5175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7"/>
        <v/>
      </c>
      <c r="E317" s="85"/>
      <c r="F317" s="80" t="str">
        <f t="shared" si="48"/>
        <v/>
      </c>
      <c r="G317" s="118"/>
      <c r="H317" s="80" t="str">
        <f t="shared" si="49"/>
        <v/>
      </c>
      <c r="I317" s="80" t="str">
        <f t="shared" si="50"/>
        <v/>
      </c>
      <c r="J317" s="117"/>
      <c r="K317" s="117"/>
      <c r="L317" s="117"/>
      <c r="M317" s="84"/>
      <c r="O317" s="75" t="str">
        <f t="shared" si="51"/>
        <v/>
      </c>
      <c r="P317" s="75" t="str">
        <f t="shared" si="52"/>
        <v/>
      </c>
      <c r="Q317" s="75" t="str">
        <f t="shared" si="53"/>
        <v/>
      </c>
      <c r="R317" s="75" t="str">
        <f t="shared" si="54"/>
        <v/>
      </c>
      <c r="AB317" s="75" t="s">
        <v>1959</v>
      </c>
      <c r="AC317" s="75" t="s">
        <v>1960</v>
      </c>
      <c r="AD317" s="75" t="s">
        <v>5143</v>
      </c>
      <c r="AE317" s="75" t="s">
        <v>5144</v>
      </c>
      <c r="AF317" s="75" t="s">
        <v>5165</v>
      </c>
      <c r="AG317" s="75" t="s">
        <v>5175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7"/>
        <v/>
      </c>
      <c r="E318" s="85"/>
      <c r="F318" s="80" t="str">
        <f t="shared" si="48"/>
        <v/>
      </c>
      <c r="G318" s="118"/>
      <c r="H318" s="80" t="str">
        <f t="shared" si="49"/>
        <v/>
      </c>
      <c r="I318" s="80" t="str">
        <f t="shared" si="50"/>
        <v/>
      </c>
      <c r="J318" s="117"/>
      <c r="K318" s="117"/>
      <c r="L318" s="117"/>
      <c r="M318" s="84"/>
      <c r="O318" s="75" t="str">
        <f t="shared" si="51"/>
        <v/>
      </c>
      <c r="P318" s="75" t="str">
        <f t="shared" si="52"/>
        <v/>
      </c>
      <c r="Q318" s="75" t="str">
        <f t="shared" si="53"/>
        <v/>
      </c>
      <c r="R318" s="75" t="str">
        <f t="shared" si="54"/>
        <v/>
      </c>
      <c r="AB318" s="75" t="s">
        <v>1961</v>
      </c>
      <c r="AC318" s="75" t="s">
        <v>1962</v>
      </c>
      <c r="AD318" s="75" t="s">
        <v>5143</v>
      </c>
      <c r="AE318" s="75" t="s">
        <v>5144</v>
      </c>
      <c r="AF318" s="75" t="s">
        <v>5165</v>
      </c>
      <c r="AG318" s="75" t="s">
        <v>5175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7"/>
        <v/>
      </c>
      <c r="E319" s="85"/>
      <c r="F319" s="80" t="str">
        <f t="shared" si="48"/>
        <v/>
      </c>
      <c r="G319" s="118"/>
      <c r="H319" s="80" t="str">
        <f t="shared" si="49"/>
        <v/>
      </c>
      <c r="I319" s="80" t="str">
        <f t="shared" si="50"/>
        <v/>
      </c>
      <c r="J319" s="117"/>
      <c r="K319" s="117"/>
      <c r="L319" s="117"/>
      <c r="M319" s="84"/>
      <c r="O319" s="75" t="str">
        <f t="shared" si="51"/>
        <v/>
      </c>
      <c r="P319" s="75" t="str">
        <f t="shared" si="52"/>
        <v/>
      </c>
      <c r="Q319" s="75" t="str">
        <f t="shared" si="53"/>
        <v/>
      </c>
      <c r="R319" s="75" t="str">
        <f t="shared" si="54"/>
        <v/>
      </c>
      <c r="AB319" s="75" t="s">
        <v>3506</v>
      </c>
      <c r="AC319" s="75" t="s">
        <v>3507</v>
      </c>
      <c r="AD319" s="75" t="s">
        <v>5143</v>
      </c>
      <c r="AE319" s="75" t="s">
        <v>5144</v>
      </c>
      <c r="AF319" s="75" t="s">
        <v>5165</v>
      </c>
      <c r="AG319" s="75" t="s">
        <v>5175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7"/>
        <v/>
      </c>
      <c r="E320" s="85"/>
      <c r="F320" s="80" t="str">
        <f t="shared" si="48"/>
        <v/>
      </c>
      <c r="G320" s="118"/>
      <c r="H320" s="80" t="str">
        <f t="shared" si="49"/>
        <v/>
      </c>
      <c r="I320" s="80" t="str">
        <f t="shared" si="50"/>
        <v/>
      </c>
      <c r="J320" s="117"/>
      <c r="K320" s="117"/>
      <c r="L320" s="117"/>
      <c r="M320" s="84"/>
      <c r="O320" s="75" t="str">
        <f t="shared" si="51"/>
        <v/>
      </c>
      <c r="P320" s="75" t="str">
        <f t="shared" si="52"/>
        <v/>
      </c>
      <c r="Q320" s="75" t="str">
        <f t="shared" si="53"/>
        <v/>
      </c>
      <c r="R320" s="75" t="str">
        <f t="shared" si="54"/>
        <v/>
      </c>
      <c r="AB320" s="75" t="s">
        <v>3508</v>
      </c>
      <c r="AC320" s="75" t="s">
        <v>3509</v>
      </c>
      <c r="AD320" s="75" t="s">
        <v>5143</v>
      </c>
      <c r="AE320" s="75" t="s">
        <v>5144</v>
      </c>
      <c r="AF320" s="75" t="s">
        <v>5165</v>
      </c>
      <c r="AG320" s="75" t="s">
        <v>5175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7"/>
        <v/>
      </c>
      <c r="E321" s="85"/>
      <c r="F321" s="80" t="str">
        <f t="shared" si="48"/>
        <v/>
      </c>
      <c r="G321" s="118"/>
      <c r="H321" s="80" t="str">
        <f t="shared" si="49"/>
        <v/>
      </c>
      <c r="I321" s="80" t="str">
        <f t="shared" si="50"/>
        <v/>
      </c>
      <c r="J321" s="117"/>
      <c r="K321" s="117"/>
      <c r="L321" s="117"/>
      <c r="M321" s="84"/>
      <c r="O321" s="75" t="str">
        <f t="shared" si="51"/>
        <v/>
      </c>
      <c r="P321" s="75" t="str">
        <f t="shared" si="52"/>
        <v/>
      </c>
      <c r="Q321" s="75" t="str">
        <f t="shared" si="53"/>
        <v/>
      </c>
      <c r="R321" s="75" t="str">
        <f t="shared" si="54"/>
        <v/>
      </c>
      <c r="AB321" s="75" t="s">
        <v>1105</v>
      </c>
      <c r="AC321" s="75" t="s">
        <v>1106</v>
      </c>
      <c r="AD321" s="75" t="s">
        <v>5159</v>
      </c>
      <c r="AE321" s="75" t="s">
        <v>5160</v>
      </c>
      <c r="AF321" s="75" t="s">
        <v>5165</v>
      </c>
      <c r="AG321" s="75" t="s">
        <v>5177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7"/>
        <v/>
      </c>
      <c r="E322" s="85"/>
      <c r="F322" s="80" t="str">
        <f t="shared" si="48"/>
        <v/>
      </c>
      <c r="G322" s="118"/>
      <c r="H322" s="80" t="str">
        <f t="shared" si="49"/>
        <v/>
      </c>
      <c r="I322" s="80" t="str">
        <f t="shared" si="50"/>
        <v/>
      </c>
      <c r="J322" s="117"/>
      <c r="K322" s="117"/>
      <c r="L322" s="117"/>
      <c r="M322" s="84"/>
      <c r="O322" s="75" t="str">
        <f t="shared" si="51"/>
        <v/>
      </c>
      <c r="P322" s="75" t="str">
        <f t="shared" si="52"/>
        <v/>
      </c>
      <c r="Q322" s="75" t="str">
        <f t="shared" si="53"/>
        <v/>
      </c>
      <c r="R322" s="75" t="str">
        <f t="shared" si="54"/>
        <v/>
      </c>
      <c r="AB322" s="75" t="s">
        <v>1105</v>
      </c>
      <c r="AC322" s="75" t="s">
        <v>1106</v>
      </c>
      <c r="AD322" s="75" t="s">
        <v>5143</v>
      </c>
      <c r="AE322" s="75" t="s">
        <v>5144</v>
      </c>
      <c r="AF322" s="75" t="s">
        <v>5165</v>
      </c>
      <c r="AG322" s="75" t="s">
        <v>5175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5">IFERROR(VLOOKUP(C323,$S$6:$T$25,2,FALSE),"")</f>
        <v/>
      </c>
      <c r="E323" s="85"/>
      <c r="F323" s="80" t="str">
        <f t="shared" ref="F323:F386" si="56">IFERROR(VLOOKUP(E323,$V$5:$X$152,2,FALSE),"")</f>
        <v/>
      </c>
      <c r="G323" s="118"/>
      <c r="H323" s="80" t="str">
        <f t="shared" ref="H323:H386" si="57">IFERROR(VLOOKUP(G323,$AB$6:$AC$350,2,FALSE),"")</f>
        <v/>
      </c>
      <c r="I323" s="80" t="str">
        <f t="shared" ref="I323:I386" si="58">IFERROR(VLOOKUP(G323,$AB$6:$AF$350,3,FALSE),"")</f>
        <v/>
      </c>
      <c r="J323" s="117"/>
      <c r="K323" s="117"/>
      <c r="L323" s="117"/>
      <c r="M323" s="84"/>
      <c r="O323" s="75" t="str">
        <f t="shared" ref="O323:O386" si="59">LEFT(E323,3)</f>
        <v/>
      </c>
      <c r="P323" s="75" t="str">
        <f t="shared" ref="P323:P386" si="60">LEFT(E323,2)</f>
        <v/>
      </c>
      <c r="Q323" s="75" t="str">
        <f t="shared" ref="Q323:Q386" si="61">LEFT(C323,3)</f>
        <v/>
      </c>
      <c r="R323" s="75" t="str">
        <f t="shared" si="54"/>
        <v/>
      </c>
      <c r="AB323" s="75" t="s">
        <v>1107</v>
      </c>
      <c r="AC323" s="75" t="s">
        <v>1108</v>
      </c>
      <c r="AD323" s="75" t="s">
        <v>5143</v>
      </c>
      <c r="AE323" s="75" t="s">
        <v>5144</v>
      </c>
      <c r="AF323" s="75" t="s">
        <v>5165</v>
      </c>
      <c r="AG323" s="75" t="s">
        <v>5175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5"/>
        <v/>
      </c>
      <c r="E324" s="85"/>
      <c r="F324" s="80" t="str">
        <f t="shared" si="56"/>
        <v/>
      </c>
      <c r="G324" s="118"/>
      <c r="H324" s="80" t="str">
        <f t="shared" si="57"/>
        <v/>
      </c>
      <c r="I324" s="80" t="str">
        <f t="shared" si="58"/>
        <v/>
      </c>
      <c r="J324" s="117"/>
      <c r="K324" s="117"/>
      <c r="L324" s="117"/>
      <c r="M324" s="84"/>
      <c r="O324" s="75" t="str">
        <f t="shared" si="59"/>
        <v/>
      </c>
      <c r="P324" s="75" t="str">
        <f t="shared" si="60"/>
        <v/>
      </c>
      <c r="Q324" s="75" t="str">
        <f t="shared" si="61"/>
        <v/>
      </c>
      <c r="R324" s="75" t="str">
        <f t="shared" si="54"/>
        <v/>
      </c>
      <c r="AB324" s="75" t="s">
        <v>1109</v>
      </c>
      <c r="AC324" s="75" t="s">
        <v>1110</v>
      </c>
      <c r="AD324" s="75" t="s">
        <v>5143</v>
      </c>
      <c r="AE324" s="75" t="s">
        <v>5144</v>
      </c>
      <c r="AF324" s="75" t="s">
        <v>5165</v>
      </c>
      <c r="AG324" s="75" t="s">
        <v>5175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5"/>
        <v/>
      </c>
      <c r="E325" s="85"/>
      <c r="F325" s="80" t="str">
        <f t="shared" si="56"/>
        <v/>
      </c>
      <c r="G325" s="118"/>
      <c r="H325" s="80" t="str">
        <f t="shared" si="57"/>
        <v/>
      </c>
      <c r="I325" s="80" t="str">
        <f t="shared" si="58"/>
        <v/>
      </c>
      <c r="J325" s="117"/>
      <c r="K325" s="117"/>
      <c r="L325" s="117"/>
      <c r="M325" s="84"/>
      <c r="O325" s="75" t="str">
        <f t="shared" si="59"/>
        <v/>
      </c>
      <c r="P325" s="75" t="str">
        <f t="shared" si="60"/>
        <v/>
      </c>
      <c r="Q325" s="75" t="str">
        <f t="shared" si="61"/>
        <v/>
      </c>
      <c r="R325" s="75" t="str">
        <f t="shared" si="54"/>
        <v/>
      </c>
      <c r="AB325" s="75" t="s">
        <v>1111</v>
      </c>
      <c r="AC325" s="75" t="s">
        <v>1112</v>
      </c>
      <c r="AD325" s="75" t="s">
        <v>5143</v>
      </c>
      <c r="AE325" s="75" t="s">
        <v>5144</v>
      </c>
      <c r="AF325" s="75" t="s">
        <v>5165</v>
      </c>
      <c r="AG325" s="75" t="s">
        <v>5175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5"/>
        <v/>
      </c>
      <c r="E326" s="85"/>
      <c r="F326" s="80" t="str">
        <f t="shared" si="56"/>
        <v/>
      </c>
      <c r="G326" s="118"/>
      <c r="H326" s="80" t="str">
        <f t="shared" si="57"/>
        <v/>
      </c>
      <c r="I326" s="80" t="str">
        <f t="shared" si="58"/>
        <v/>
      </c>
      <c r="J326" s="117"/>
      <c r="K326" s="117"/>
      <c r="L326" s="117"/>
      <c r="M326" s="84"/>
      <c r="O326" s="75" t="str">
        <f t="shared" si="59"/>
        <v/>
      </c>
      <c r="P326" s="75" t="str">
        <f t="shared" si="60"/>
        <v/>
      </c>
      <c r="Q326" s="75" t="str">
        <f t="shared" si="61"/>
        <v/>
      </c>
      <c r="R326" s="75" t="str">
        <f t="shared" si="54"/>
        <v/>
      </c>
      <c r="AB326" s="75" t="s">
        <v>1113</v>
      </c>
      <c r="AC326" s="75" t="s">
        <v>1114</v>
      </c>
      <c r="AD326" s="75" t="s">
        <v>5143</v>
      </c>
      <c r="AE326" s="75" t="s">
        <v>5144</v>
      </c>
      <c r="AF326" s="75" t="s">
        <v>5165</v>
      </c>
      <c r="AG326" s="75" t="s">
        <v>5175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5"/>
        <v/>
      </c>
      <c r="E327" s="85"/>
      <c r="F327" s="80" t="str">
        <f t="shared" si="56"/>
        <v/>
      </c>
      <c r="G327" s="118"/>
      <c r="H327" s="80" t="str">
        <f t="shared" si="57"/>
        <v/>
      </c>
      <c r="I327" s="80" t="str">
        <f t="shared" si="58"/>
        <v/>
      </c>
      <c r="J327" s="117"/>
      <c r="K327" s="117"/>
      <c r="L327" s="117"/>
      <c r="M327" s="84"/>
      <c r="O327" s="75" t="str">
        <f t="shared" si="59"/>
        <v/>
      </c>
      <c r="P327" s="75" t="str">
        <f t="shared" si="60"/>
        <v/>
      </c>
      <c r="Q327" s="75" t="str">
        <f t="shared" si="61"/>
        <v/>
      </c>
      <c r="R327" s="75" t="str">
        <f t="shared" si="54"/>
        <v/>
      </c>
      <c r="AB327" s="75" t="s">
        <v>1115</v>
      </c>
      <c r="AC327" s="75" t="s">
        <v>1116</v>
      </c>
      <c r="AD327" s="75" t="s">
        <v>5143</v>
      </c>
      <c r="AE327" s="75" t="s">
        <v>5144</v>
      </c>
      <c r="AF327" s="75" t="s">
        <v>5165</v>
      </c>
      <c r="AG327" s="75" t="s">
        <v>5175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5"/>
        <v/>
      </c>
      <c r="E328" s="85"/>
      <c r="F328" s="80" t="str">
        <f t="shared" si="56"/>
        <v/>
      </c>
      <c r="G328" s="118"/>
      <c r="H328" s="80" t="str">
        <f t="shared" si="57"/>
        <v/>
      </c>
      <c r="I328" s="80" t="str">
        <f t="shared" si="58"/>
        <v/>
      </c>
      <c r="J328" s="117"/>
      <c r="K328" s="117"/>
      <c r="L328" s="117"/>
      <c r="M328" s="84"/>
      <c r="O328" s="75" t="str">
        <f t="shared" si="59"/>
        <v/>
      </c>
      <c r="P328" s="75" t="str">
        <f t="shared" si="60"/>
        <v/>
      </c>
      <c r="Q328" s="75" t="str">
        <f t="shared" si="61"/>
        <v/>
      </c>
      <c r="R328" s="75" t="str">
        <f t="shared" si="54"/>
        <v/>
      </c>
      <c r="AB328" s="75" t="s">
        <v>1117</v>
      </c>
      <c r="AC328" s="75" t="s">
        <v>1118</v>
      </c>
      <c r="AD328" s="75" t="s">
        <v>5143</v>
      </c>
      <c r="AE328" s="75" t="s">
        <v>5144</v>
      </c>
      <c r="AF328" s="75" t="s">
        <v>5165</v>
      </c>
      <c r="AG328" s="75" t="s">
        <v>5175</v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5"/>
        <v/>
      </c>
      <c r="E329" s="85"/>
      <c r="F329" s="80" t="str">
        <f t="shared" si="56"/>
        <v/>
      </c>
      <c r="G329" s="118"/>
      <c r="H329" s="80" t="str">
        <f t="shared" si="57"/>
        <v/>
      </c>
      <c r="I329" s="80" t="str">
        <f t="shared" si="58"/>
        <v/>
      </c>
      <c r="J329" s="117"/>
      <c r="K329" s="117"/>
      <c r="L329" s="117"/>
      <c r="M329" s="84"/>
      <c r="O329" s="75" t="str">
        <f t="shared" si="59"/>
        <v/>
      </c>
      <c r="P329" s="75" t="str">
        <f t="shared" si="60"/>
        <v/>
      </c>
      <c r="Q329" s="75" t="str">
        <f t="shared" si="61"/>
        <v/>
      </c>
      <c r="R329" s="75" t="str">
        <f t="shared" si="54"/>
        <v/>
      </c>
      <c r="AB329" s="75" t="s">
        <v>1119</v>
      </c>
      <c r="AC329" s="75" t="s">
        <v>1120</v>
      </c>
      <c r="AD329" s="75" t="s">
        <v>5143</v>
      </c>
      <c r="AE329" s="75" t="s">
        <v>5144</v>
      </c>
      <c r="AF329" s="75" t="s">
        <v>5165</v>
      </c>
      <c r="AG329" s="75" t="s">
        <v>5175</v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5"/>
        <v/>
      </c>
      <c r="E330" s="85"/>
      <c r="F330" s="80" t="str">
        <f t="shared" si="56"/>
        <v/>
      </c>
      <c r="G330" s="118"/>
      <c r="H330" s="80" t="str">
        <f t="shared" si="57"/>
        <v/>
      </c>
      <c r="I330" s="80" t="str">
        <f t="shared" si="58"/>
        <v/>
      </c>
      <c r="J330" s="117"/>
      <c r="K330" s="117"/>
      <c r="L330" s="117"/>
      <c r="M330" s="84"/>
      <c r="O330" s="75" t="str">
        <f t="shared" si="59"/>
        <v/>
      </c>
      <c r="P330" s="75" t="str">
        <f t="shared" si="60"/>
        <v/>
      </c>
      <c r="Q330" s="75" t="str">
        <f t="shared" si="61"/>
        <v/>
      </c>
      <c r="R330" s="75" t="str">
        <f t="shared" si="54"/>
        <v/>
      </c>
      <c r="AB330" s="75" t="s">
        <v>1121</v>
      </c>
      <c r="AC330" s="75" t="s">
        <v>1122</v>
      </c>
      <c r="AD330" s="75" t="s">
        <v>5159</v>
      </c>
      <c r="AE330" s="75" t="s">
        <v>5160</v>
      </c>
      <c r="AF330" s="75" t="s">
        <v>5165</v>
      </c>
      <c r="AG330" s="75" t="s">
        <v>5177</v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5"/>
        <v/>
      </c>
      <c r="E331" s="85"/>
      <c r="F331" s="80" t="str">
        <f t="shared" si="56"/>
        <v/>
      </c>
      <c r="G331" s="118"/>
      <c r="H331" s="80" t="str">
        <f t="shared" si="57"/>
        <v/>
      </c>
      <c r="I331" s="80" t="str">
        <f t="shared" si="58"/>
        <v/>
      </c>
      <c r="J331" s="117"/>
      <c r="K331" s="117"/>
      <c r="L331" s="117"/>
      <c r="M331" s="84"/>
      <c r="O331" s="75" t="str">
        <f t="shared" si="59"/>
        <v/>
      </c>
      <c r="P331" s="75" t="str">
        <f t="shared" si="60"/>
        <v/>
      </c>
      <c r="Q331" s="75" t="str">
        <f t="shared" si="61"/>
        <v/>
      </c>
      <c r="R331" s="75" t="str">
        <f t="shared" si="54"/>
        <v/>
      </c>
      <c r="AB331" s="75" t="s">
        <v>1121</v>
      </c>
      <c r="AC331" s="75" t="s">
        <v>1122</v>
      </c>
      <c r="AD331" s="75" t="s">
        <v>5143</v>
      </c>
      <c r="AE331" s="75" t="s">
        <v>5144</v>
      </c>
      <c r="AF331" s="75" t="s">
        <v>5165</v>
      </c>
      <c r="AG331" s="75" t="s">
        <v>5175</v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5"/>
        <v/>
      </c>
      <c r="E332" s="85"/>
      <c r="F332" s="80" t="str">
        <f t="shared" si="56"/>
        <v/>
      </c>
      <c r="G332" s="118"/>
      <c r="H332" s="80" t="str">
        <f t="shared" si="57"/>
        <v/>
      </c>
      <c r="I332" s="80" t="str">
        <f t="shared" si="58"/>
        <v/>
      </c>
      <c r="J332" s="117"/>
      <c r="K332" s="117"/>
      <c r="L332" s="117"/>
      <c r="M332" s="84"/>
      <c r="O332" s="75" t="str">
        <f t="shared" si="59"/>
        <v/>
      </c>
      <c r="P332" s="75" t="str">
        <f t="shared" si="60"/>
        <v/>
      </c>
      <c r="Q332" s="75" t="str">
        <f t="shared" si="61"/>
        <v/>
      </c>
      <c r="R332" s="75" t="str">
        <f t="shared" si="54"/>
        <v/>
      </c>
      <c r="AB332" s="75" t="s">
        <v>1123</v>
      </c>
      <c r="AC332" s="75" t="s">
        <v>1124</v>
      </c>
      <c r="AD332" s="75" t="s">
        <v>5143</v>
      </c>
      <c r="AE332" s="75" t="s">
        <v>5144</v>
      </c>
      <c r="AF332" s="75" t="s">
        <v>5165</v>
      </c>
      <c r="AG332" s="75" t="s">
        <v>5175</v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5"/>
        <v/>
      </c>
      <c r="E333" s="85"/>
      <c r="F333" s="80" t="str">
        <f t="shared" si="56"/>
        <v/>
      </c>
      <c r="G333" s="118"/>
      <c r="H333" s="80" t="str">
        <f t="shared" si="57"/>
        <v/>
      </c>
      <c r="I333" s="80" t="str">
        <f t="shared" si="58"/>
        <v/>
      </c>
      <c r="J333" s="117"/>
      <c r="K333" s="117"/>
      <c r="L333" s="117"/>
      <c r="M333" s="84"/>
      <c r="O333" s="75" t="str">
        <f t="shared" si="59"/>
        <v/>
      </c>
      <c r="P333" s="75" t="str">
        <f t="shared" si="60"/>
        <v/>
      </c>
      <c r="Q333" s="75" t="str">
        <f t="shared" si="61"/>
        <v/>
      </c>
      <c r="R333" s="75" t="str">
        <f t="shared" si="54"/>
        <v/>
      </c>
      <c r="AB333" s="75" t="s">
        <v>1125</v>
      </c>
      <c r="AC333" s="75" t="s">
        <v>1126</v>
      </c>
      <c r="AD333" s="75" t="s">
        <v>5143</v>
      </c>
      <c r="AE333" s="75" t="s">
        <v>5144</v>
      </c>
      <c r="AF333" s="75" t="s">
        <v>5165</v>
      </c>
      <c r="AG333" s="75" t="s">
        <v>5175</v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5"/>
        <v/>
      </c>
      <c r="E334" s="85"/>
      <c r="F334" s="80" t="str">
        <f t="shared" si="56"/>
        <v/>
      </c>
      <c r="G334" s="118"/>
      <c r="H334" s="80" t="str">
        <f t="shared" si="57"/>
        <v/>
      </c>
      <c r="I334" s="80" t="str">
        <f t="shared" si="58"/>
        <v/>
      </c>
      <c r="J334" s="117"/>
      <c r="K334" s="117"/>
      <c r="L334" s="117"/>
      <c r="M334" s="84"/>
      <c r="O334" s="75" t="str">
        <f t="shared" si="59"/>
        <v/>
      </c>
      <c r="P334" s="75" t="str">
        <f t="shared" si="60"/>
        <v/>
      </c>
      <c r="Q334" s="75" t="str">
        <f t="shared" si="61"/>
        <v/>
      </c>
      <c r="R334" s="75" t="str">
        <f t="shared" si="54"/>
        <v/>
      </c>
      <c r="AB334" s="75" t="s">
        <v>1963</v>
      </c>
      <c r="AC334" s="75" t="s">
        <v>1964</v>
      </c>
      <c r="AD334" s="75" t="s">
        <v>5143</v>
      </c>
      <c r="AE334" s="75" t="s">
        <v>5144</v>
      </c>
      <c r="AF334" s="75" t="s">
        <v>5165</v>
      </c>
      <c r="AG334" s="75" t="s">
        <v>5175</v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5"/>
        <v/>
      </c>
      <c r="E335" s="85"/>
      <c r="F335" s="80" t="str">
        <f t="shared" si="56"/>
        <v/>
      </c>
      <c r="G335" s="118"/>
      <c r="H335" s="80" t="str">
        <f t="shared" si="57"/>
        <v/>
      </c>
      <c r="I335" s="80" t="str">
        <f t="shared" si="58"/>
        <v/>
      </c>
      <c r="J335" s="117"/>
      <c r="K335" s="117"/>
      <c r="L335" s="117"/>
      <c r="M335" s="84"/>
      <c r="O335" s="75" t="str">
        <f t="shared" si="59"/>
        <v/>
      </c>
      <c r="P335" s="75" t="str">
        <f t="shared" si="60"/>
        <v/>
      </c>
      <c r="Q335" s="75" t="str">
        <f t="shared" si="61"/>
        <v/>
      </c>
      <c r="R335" s="75" t="str">
        <f t="shared" si="54"/>
        <v/>
      </c>
      <c r="AB335" s="75" t="s">
        <v>1965</v>
      </c>
      <c r="AC335" s="75" t="s">
        <v>1966</v>
      </c>
      <c r="AD335" s="75" t="s">
        <v>5143</v>
      </c>
      <c r="AE335" s="75" t="s">
        <v>5144</v>
      </c>
      <c r="AF335" s="75" t="s">
        <v>5165</v>
      </c>
      <c r="AG335" s="75" t="s">
        <v>5175</v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5"/>
        <v/>
      </c>
      <c r="E336" s="85"/>
      <c r="F336" s="80" t="str">
        <f t="shared" si="56"/>
        <v/>
      </c>
      <c r="G336" s="118"/>
      <c r="H336" s="80" t="str">
        <f t="shared" si="57"/>
        <v/>
      </c>
      <c r="I336" s="80" t="str">
        <f t="shared" si="58"/>
        <v/>
      </c>
      <c r="J336" s="117"/>
      <c r="K336" s="117"/>
      <c r="L336" s="117"/>
      <c r="M336" s="84"/>
      <c r="O336" s="75" t="str">
        <f t="shared" si="59"/>
        <v/>
      </c>
      <c r="P336" s="75" t="str">
        <f t="shared" si="60"/>
        <v/>
      </c>
      <c r="Q336" s="75" t="str">
        <f t="shared" si="61"/>
        <v/>
      </c>
      <c r="R336" s="75" t="str">
        <f t="shared" si="54"/>
        <v/>
      </c>
      <c r="AB336" s="75" t="s">
        <v>1967</v>
      </c>
      <c r="AC336" s="75" t="s">
        <v>1968</v>
      </c>
      <c r="AD336" s="75" t="s">
        <v>5143</v>
      </c>
      <c r="AE336" s="75" t="s">
        <v>5144</v>
      </c>
      <c r="AF336" s="75" t="s">
        <v>5165</v>
      </c>
      <c r="AG336" s="75" t="s">
        <v>5175</v>
      </c>
    </row>
    <row r="337" spans="1:33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5"/>
        <v/>
      </c>
      <c r="E337" s="85"/>
      <c r="F337" s="80" t="str">
        <f t="shared" si="56"/>
        <v/>
      </c>
      <c r="G337" s="118"/>
      <c r="H337" s="80" t="str">
        <f t="shared" si="57"/>
        <v/>
      </c>
      <c r="I337" s="80" t="str">
        <f t="shared" si="58"/>
        <v/>
      </c>
      <c r="J337" s="117"/>
      <c r="K337" s="117"/>
      <c r="L337" s="117"/>
      <c r="M337" s="84"/>
      <c r="O337" s="75" t="str">
        <f t="shared" si="59"/>
        <v/>
      </c>
      <c r="P337" s="75" t="str">
        <f t="shared" si="60"/>
        <v/>
      </c>
      <c r="Q337" s="75" t="str">
        <f t="shared" si="61"/>
        <v/>
      </c>
      <c r="R337" s="75" t="str">
        <f t="shared" ref="R337:R400" si="62">MID(I337,2,2)</f>
        <v/>
      </c>
      <c r="AB337" s="75" t="s">
        <v>3510</v>
      </c>
      <c r="AC337" s="75" t="s">
        <v>3511</v>
      </c>
      <c r="AD337" s="75" t="s">
        <v>5143</v>
      </c>
      <c r="AE337" s="75" t="s">
        <v>5144</v>
      </c>
      <c r="AF337" s="75" t="s">
        <v>5165</v>
      </c>
      <c r="AG337" s="75" t="s">
        <v>5175</v>
      </c>
    </row>
    <row r="338" spans="1:33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5"/>
        <v/>
      </c>
      <c r="E338" s="85"/>
      <c r="F338" s="80" t="str">
        <f t="shared" si="56"/>
        <v/>
      </c>
      <c r="G338" s="118"/>
      <c r="H338" s="80" t="str">
        <f t="shared" si="57"/>
        <v/>
      </c>
      <c r="I338" s="80" t="str">
        <f t="shared" si="58"/>
        <v/>
      </c>
      <c r="J338" s="117"/>
      <c r="K338" s="117"/>
      <c r="L338" s="117"/>
      <c r="M338" s="84"/>
      <c r="O338" s="75" t="str">
        <f t="shared" si="59"/>
        <v/>
      </c>
      <c r="P338" s="75" t="str">
        <f t="shared" si="60"/>
        <v/>
      </c>
      <c r="Q338" s="75" t="str">
        <f t="shared" si="61"/>
        <v/>
      </c>
      <c r="R338" s="75" t="str">
        <f t="shared" si="62"/>
        <v/>
      </c>
      <c r="AB338" s="75" t="s">
        <v>1127</v>
      </c>
      <c r="AC338" s="75" t="s">
        <v>684</v>
      </c>
      <c r="AD338" s="75" t="s">
        <v>5159</v>
      </c>
      <c r="AE338" s="75" t="s">
        <v>5160</v>
      </c>
      <c r="AF338" s="75" t="s">
        <v>5165</v>
      </c>
      <c r="AG338" s="75" t="s">
        <v>5177</v>
      </c>
    </row>
    <row r="339" spans="1:33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5"/>
        <v/>
      </c>
      <c r="E339" s="85"/>
      <c r="F339" s="80" t="str">
        <f t="shared" si="56"/>
        <v/>
      </c>
      <c r="G339" s="118"/>
      <c r="H339" s="80" t="str">
        <f t="shared" si="57"/>
        <v/>
      </c>
      <c r="I339" s="80" t="str">
        <f t="shared" si="58"/>
        <v/>
      </c>
      <c r="J339" s="117"/>
      <c r="K339" s="117"/>
      <c r="L339" s="117"/>
      <c r="M339" s="84"/>
      <c r="O339" s="75" t="str">
        <f t="shared" si="59"/>
        <v/>
      </c>
      <c r="P339" s="75" t="str">
        <f t="shared" si="60"/>
        <v/>
      </c>
      <c r="Q339" s="75" t="str">
        <f t="shared" si="61"/>
        <v/>
      </c>
      <c r="R339" s="75" t="str">
        <f t="shared" si="62"/>
        <v/>
      </c>
      <c r="AB339" s="75" t="s">
        <v>1128</v>
      </c>
      <c r="AC339" s="75" t="s">
        <v>1129</v>
      </c>
      <c r="AD339" s="75" t="s">
        <v>5159</v>
      </c>
      <c r="AE339" s="75" t="s">
        <v>5160</v>
      </c>
      <c r="AF339" s="75" t="s">
        <v>5165</v>
      </c>
      <c r="AG339" s="75" t="s">
        <v>5177</v>
      </c>
    </row>
    <row r="340" spans="1:33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5"/>
        <v/>
      </c>
      <c r="E340" s="85"/>
      <c r="F340" s="80" t="str">
        <f t="shared" si="56"/>
        <v/>
      </c>
      <c r="G340" s="118"/>
      <c r="H340" s="80" t="str">
        <f t="shared" si="57"/>
        <v/>
      </c>
      <c r="I340" s="80" t="str">
        <f t="shared" si="58"/>
        <v/>
      </c>
      <c r="J340" s="117"/>
      <c r="K340" s="117"/>
      <c r="L340" s="117"/>
      <c r="M340" s="84"/>
      <c r="O340" s="75" t="str">
        <f t="shared" si="59"/>
        <v/>
      </c>
      <c r="P340" s="75" t="str">
        <f t="shared" si="60"/>
        <v/>
      </c>
      <c r="Q340" s="75" t="str">
        <f t="shared" si="61"/>
        <v/>
      </c>
      <c r="R340" s="75" t="str">
        <f t="shared" si="62"/>
        <v/>
      </c>
      <c r="AB340" s="75" t="s">
        <v>1791</v>
      </c>
      <c r="AC340" s="75" t="s">
        <v>1792</v>
      </c>
      <c r="AD340" s="75" t="s">
        <v>5141</v>
      </c>
      <c r="AE340" s="75" t="s">
        <v>5142</v>
      </c>
      <c r="AF340" s="75" t="s">
        <v>5167</v>
      </c>
      <c r="AG340" s="75" t="s">
        <v>5168</v>
      </c>
    </row>
    <row r="341" spans="1:33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5"/>
        <v/>
      </c>
      <c r="E341" s="85"/>
      <c r="F341" s="80" t="str">
        <f t="shared" si="56"/>
        <v/>
      </c>
      <c r="G341" s="118"/>
      <c r="H341" s="80" t="str">
        <f t="shared" si="57"/>
        <v/>
      </c>
      <c r="I341" s="80" t="str">
        <f t="shared" si="58"/>
        <v/>
      </c>
      <c r="J341" s="117"/>
      <c r="K341" s="117"/>
      <c r="L341" s="117"/>
      <c r="M341" s="84"/>
      <c r="O341" s="75" t="str">
        <f t="shared" si="59"/>
        <v/>
      </c>
      <c r="P341" s="75" t="str">
        <f t="shared" si="60"/>
        <v/>
      </c>
      <c r="Q341" s="75" t="str">
        <f t="shared" si="61"/>
        <v/>
      </c>
      <c r="R341" s="75" t="str">
        <f t="shared" si="62"/>
        <v/>
      </c>
      <c r="AB341" s="75" t="s">
        <v>1823</v>
      </c>
      <c r="AC341" s="75" t="s">
        <v>1824</v>
      </c>
      <c r="AD341" s="75" t="s">
        <v>5141</v>
      </c>
      <c r="AE341" s="75" t="s">
        <v>5142</v>
      </c>
      <c r="AF341" s="75" t="s">
        <v>5167</v>
      </c>
      <c r="AG341" s="75" t="s">
        <v>5168</v>
      </c>
    </row>
    <row r="342" spans="1:33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5"/>
        <v/>
      </c>
      <c r="E342" s="85"/>
      <c r="F342" s="80" t="str">
        <f t="shared" si="56"/>
        <v/>
      </c>
      <c r="G342" s="118"/>
      <c r="H342" s="80" t="str">
        <f t="shared" si="57"/>
        <v/>
      </c>
      <c r="I342" s="80" t="str">
        <f t="shared" si="58"/>
        <v/>
      </c>
      <c r="J342" s="117"/>
      <c r="K342" s="117"/>
      <c r="L342" s="117"/>
      <c r="M342" s="84"/>
      <c r="O342" s="75" t="str">
        <f t="shared" si="59"/>
        <v/>
      </c>
      <c r="P342" s="75" t="str">
        <f t="shared" si="60"/>
        <v/>
      </c>
      <c r="Q342" s="75" t="str">
        <f t="shared" si="61"/>
        <v/>
      </c>
      <c r="R342" s="75" t="str">
        <f t="shared" si="62"/>
        <v/>
      </c>
      <c r="AB342" s="75" t="s">
        <v>3512</v>
      </c>
      <c r="AC342" s="75" t="s">
        <v>3513</v>
      </c>
      <c r="AD342" s="75" t="s">
        <v>5141</v>
      </c>
      <c r="AE342" s="75" t="s">
        <v>5142</v>
      </c>
      <c r="AF342" s="75" t="s">
        <v>5167</v>
      </c>
      <c r="AG342" s="75" t="s">
        <v>5168</v>
      </c>
    </row>
    <row r="343" spans="1:33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5"/>
        <v/>
      </c>
      <c r="E343" s="85"/>
      <c r="F343" s="80" t="str">
        <f t="shared" si="56"/>
        <v/>
      </c>
      <c r="G343" s="118"/>
      <c r="H343" s="80" t="str">
        <f t="shared" si="57"/>
        <v/>
      </c>
      <c r="I343" s="80" t="str">
        <f t="shared" si="58"/>
        <v/>
      </c>
      <c r="J343" s="117"/>
      <c r="K343" s="117"/>
      <c r="L343" s="117"/>
      <c r="M343" s="84"/>
      <c r="O343" s="75" t="str">
        <f t="shared" si="59"/>
        <v/>
      </c>
      <c r="P343" s="75" t="str">
        <f t="shared" si="60"/>
        <v/>
      </c>
      <c r="Q343" s="75" t="str">
        <f t="shared" si="61"/>
        <v/>
      </c>
      <c r="R343" s="75" t="str">
        <f t="shared" si="62"/>
        <v/>
      </c>
      <c r="AB343" s="75" t="s">
        <v>3514</v>
      </c>
      <c r="AC343" s="75" t="s">
        <v>3515</v>
      </c>
      <c r="AD343" s="75" t="s">
        <v>5141</v>
      </c>
      <c r="AE343" s="75" t="s">
        <v>5142</v>
      </c>
      <c r="AF343" s="75" t="s">
        <v>5167</v>
      </c>
      <c r="AG343" s="75" t="s">
        <v>5168</v>
      </c>
    </row>
    <row r="344" spans="1:33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5"/>
        <v/>
      </c>
      <c r="E344" s="85"/>
      <c r="F344" s="80" t="str">
        <f t="shared" si="56"/>
        <v/>
      </c>
      <c r="G344" s="118"/>
      <c r="H344" s="80" t="str">
        <f t="shared" si="57"/>
        <v/>
      </c>
      <c r="I344" s="80" t="str">
        <f t="shared" si="58"/>
        <v/>
      </c>
      <c r="J344" s="117"/>
      <c r="K344" s="117"/>
      <c r="L344" s="117"/>
      <c r="M344" s="84"/>
      <c r="O344" s="75" t="str">
        <f t="shared" si="59"/>
        <v/>
      </c>
      <c r="P344" s="75" t="str">
        <f t="shared" si="60"/>
        <v/>
      </c>
      <c r="Q344" s="75" t="str">
        <f t="shared" si="61"/>
        <v/>
      </c>
      <c r="R344" s="75" t="str">
        <f t="shared" si="62"/>
        <v/>
      </c>
      <c r="AB344" s="75" t="s">
        <v>3516</v>
      </c>
      <c r="AC344" s="75" t="s">
        <v>3517</v>
      </c>
      <c r="AD344" s="75" t="s">
        <v>5141</v>
      </c>
      <c r="AE344" s="75" t="s">
        <v>5142</v>
      </c>
      <c r="AF344" s="75" t="s">
        <v>5167</v>
      </c>
      <c r="AG344" s="75" t="s">
        <v>5168</v>
      </c>
    </row>
    <row r="345" spans="1:33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5"/>
        <v/>
      </c>
      <c r="E345" s="85"/>
      <c r="F345" s="80" t="str">
        <f t="shared" si="56"/>
        <v/>
      </c>
      <c r="G345" s="118"/>
      <c r="H345" s="80" t="str">
        <f t="shared" si="57"/>
        <v/>
      </c>
      <c r="I345" s="80" t="str">
        <f t="shared" si="58"/>
        <v/>
      </c>
      <c r="J345" s="117"/>
      <c r="K345" s="117"/>
      <c r="L345" s="117"/>
      <c r="M345" s="84"/>
      <c r="O345" s="75" t="str">
        <f t="shared" si="59"/>
        <v/>
      </c>
      <c r="P345" s="75" t="str">
        <f t="shared" si="60"/>
        <v/>
      </c>
      <c r="Q345" s="75" t="str">
        <f t="shared" si="61"/>
        <v/>
      </c>
      <c r="R345" s="75" t="str">
        <f t="shared" si="62"/>
        <v/>
      </c>
      <c r="AB345" s="75" t="s">
        <v>1867</v>
      </c>
      <c r="AC345" s="75" t="s">
        <v>1868</v>
      </c>
      <c r="AD345" s="75" t="s">
        <v>5141</v>
      </c>
      <c r="AE345" s="75" t="s">
        <v>5142</v>
      </c>
      <c r="AF345" s="75" t="s">
        <v>5167</v>
      </c>
      <c r="AG345" s="75" t="s">
        <v>5168</v>
      </c>
    </row>
    <row r="346" spans="1:33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5"/>
        <v/>
      </c>
      <c r="E346" s="85"/>
      <c r="F346" s="80" t="str">
        <f t="shared" si="56"/>
        <v/>
      </c>
      <c r="G346" s="118"/>
      <c r="H346" s="80" t="str">
        <f t="shared" si="57"/>
        <v/>
      </c>
      <c r="I346" s="80" t="str">
        <f t="shared" si="58"/>
        <v/>
      </c>
      <c r="J346" s="117"/>
      <c r="K346" s="117"/>
      <c r="L346" s="117"/>
      <c r="M346" s="84"/>
      <c r="O346" s="75" t="str">
        <f t="shared" si="59"/>
        <v/>
      </c>
      <c r="P346" s="75" t="str">
        <f t="shared" si="60"/>
        <v/>
      </c>
      <c r="Q346" s="75" t="str">
        <f t="shared" si="61"/>
        <v/>
      </c>
      <c r="R346" s="75" t="str">
        <f t="shared" si="62"/>
        <v/>
      </c>
      <c r="AB346" s="75" t="s">
        <v>959</v>
      </c>
      <c r="AC346" s="75" t="s">
        <v>960</v>
      </c>
      <c r="AD346" s="75" t="s">
        <v>5141</v>
      </c>
      <c r="AE346" s="75" t="s">
        <v>5142</v>
      </c>
      <c r="AF346" s="75" t="s">
        <v>5167</v>
      </c>
      <c r="AG346" s="75" t="s">
        <v>5168</v>
      </c>
    </row>
    <row r="347" spans="1:33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5"/>
        <v/>
      </c>
      <c r="E347" s="85"/>
      <c r="F347" s="80" t="str">
        <f t="shared" si="56"/>
        <v/>
      </c>
      <c r="G347" s="118"/>
      <c r="H347" s="80" t="str">
        <f t="shared" si="57"/>
        <v/>
      </c>
      <c r="I347" s="80" t="str">
        <f t="shared" si="58"/>
        <v/>
      </c>
      <c r="J347" s="117"/>
      <c r="K347" s="117"/>
      <c r="L347" s="117"/>
      <c r="M347" s="84"/>
      <c r="O347" s="75" t="str">
        <f t="shared" si="59"/>
        <v/>
      </c>
      <c r="P347" s="75" t="str">
        <f t="shared" si="60"/>
        <v/>
      </c>
      <c r="Q347" s="75" t="str">
        <f t="shared" si="61"/>
        <v/>
      </c>
      <c r="R347" s="75" t="str">
        <f t="shared" si="62"/>
        <v/>
      </c>
      <c r="AB347" s="75" t="s">
        <v>3518</v>
      </c>
      <c r="AC347" s="75" t="s">
        <v>3519</v>
      </c>
      <c r="AD347" s="75" t="s">
        <v>5141</v>
      </c>
      <c r="AE347" s="75" t="s">
        <v>5142</v>
      </c>
      <c r="AF347" s="75" t="s">
        <v>5167</v>
      </c>
      <c r="AG347" s="75" t="s">
        <v>5168</v>
      </c>
    </row>
    <row r="348" spans="1:33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5"/>
        <v/>
      </c>
      <c r="E348" s="85"/>
      <c r="F348" s="80" t="str">
        <f t="shared" si="56"/>
        <v/>
      </c>
      <c r="G348" s="118"/>
      <c r="H348" s="80" t="str">
        <f t="shared" si="57"/>
        <v/>
      </c>
      <c r="I348" s="80" t="str">
        <f t="shared" si="58"/>
        <v/>
      </c>
      <c r="J348" s="117"/>
      <c r="K348" s="117"/>
      <c r="L348" s="117"/>
      <c r="M348" s="84"/>
      <c r="O348" s="75" t="str">
        <f t="shared" si="59"/>
        <v/>
      </c>
      <c r="P348" s="75" t="str">
        <f t="shared" si="60"/>
        <v/>
      </c>
      <c r="Q348" s="75" t="str">
        <f t="shared" si="61"/>
        <v/>
      </c>
      <c r="R348" s="75" t="str">
        <f t="shared" si="62"/>
        <v/>
      </c>
      <c r="AB348" s="75" t="s">
        <v>3520</v>
      </c>
      <c r="AC348" s="75" t="s">
        <v>3521</v>
      </c>
      <c r="AD348" s="75" t="s">
        <v>5141</v>
      </c>
      <c r="AE348" s="75" t="s">
        <v>5142</v>
      </c>
      <c r="AF348" s="75" t="s">
        <v>5167</v>
      </c>
      <c r="AG348" s="75" t="s">
        <v>5168</v>
      </c>
    </row>
    <row r="349" spans="1:33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5"/>
        <v/>
      </c>
      <c r="E349" s="85"/>
      <c r="F349" s="80" t="str">
        <f t="shared" si="56"/>
        <v/>
      </c>
      <c r="G349" s="118"/>
      <c r="H349" s="80" t="str">
        <f t="shared" si="57"/>
        <v/>
      </c>
      <c r="I349" s="80" t="str">
        <f t="shared" si="58"/>
        <v/>
      </c>
      <c r="J349" s="117"/>
      <c r="K349" s="117"/>
      <c r="L349" s="117"/>
      <c r="M349" s="84"/>
      <c r="O349" s="75" t="str">
        <f t="shared" si="59"/>
        <v/>
      </c>
      <c r="P349" s="75" t="str">
        <f t="shared" si="60"/>
        <v/>
      </c>
      <c r="Q349" s="75" t="str">
        <f t="shared" si="61"/>
        <v/>
      </c>
      <c r="R349" s="75" t="str">
        <f t="shared" si="62"/>
        <v/>
      </c>
      <c r="AB349" s="75" t="s">
        <v>3522</v>
      </c>
      <c r="AC349" s="75" t="s">
        <v>3523</v>
      </c>
      <c r="AD349" s="75" t="s">
        <v>5141</v>
      </c>
      <c r="AE349" s="75" t="s">
        <v>5142</v>
      </c>
      <c r="AF349" s="75" t="s">
        <v>5167</v>
      </c>
      <c r="AG349" s="75" t="s">
        <v>5168</v>
      </c>
    </row>
    <row r="350" spans="1:33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5"/>
        <v/>
      </c>
      <c r="E350" s="85"/>
      <c r="F350" s="80" t="str">
        <f t="shared" si="56"/>
        <v/>
      </c>
      <c r="G350" s="118"/>
      <c r="H350" s="80" t="str">
        <f t="shared" si="57"/>
        <v/>
      </c>
      <c r="I350" s="80" t="str">
        <f t="shared" si="58"/>
        <v/>
      </c>
      <c r="J350" s="117"/>
      <c r="K350" s="117"/>
      <c r="L350" s="117"/>
      <c r="M350" s="84"/>
      <c r="O350" s="75" t="str">
        <f t="shared" si="59"/>
        <v/>
      </c>
      <c r="P350" s="75" t="str">
        <f t="shared" si="60"/>
        <v/>
      </c>
      <c r="Q350" s="75" t="str">
        <f t="shared" si="61"/>
        <v/>
      </c>
      <c r="R350" s="75" t="str">
        <f t="shared" si="62"/>
        <v/>
      </c>
      <c r="AB350" s="75" t="s">
        <v>3460</v>
      </c>
      <c r="AC350" s="75" t="s">
        <v>684</v>
      </c>
      <c r="AD350" s="75" t="s">
        <v>5141</v>
      </c>
      <c r="AE350" s="75" t="s">
        <v>5142</v>
      </c>
      <c r="AF350" s="75" t="s">
        <v>5167</v>
      </c>
      <c r="AG350" s="75" t="s">
        <v>5168</v>
      </c>
    </row>
    <row r="351" spans="1:33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5"/>
        <v/>
      </c>
      <c r="E351" s="85"/>
      <c r="F351" s="80" t="str">
        <f t="shared" si="56"/>
        <v/>
      </c>
      <c r="G351" s="118"/>
      <c r="H351" s="80" t="str">
        <f t="shared" si="57"/>
        <v/>
      </c>
      <c r="I351" s="80" t="str">
        <f t="shared" si="58"/>
        <v/>
      </c>
      <c r="J351" s="117"/>
      <c r="K351" s="117"/>
      <c r="L351" s="117"/>
      <c r="M351" s="84"/>
      <c r="O351" s="75" t="str">
        <f t="shared" si="59"/>
        <v/>
      </c>
      <c r="P351" s="75" t="str">
        <f t="shared" si="60"/>
        <v/>
      </c>
      <c r="Q351" s="75" t="str">
        <f t="shared" si="61"/>
        <v/>
      </c>
      <c r="R351" s="75" t="str">
        <f t="shared" si="62"/>
        <v/>
      </c>
    </row>
    <row r="352" spans="1:33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5"/>
        <v/>
      </c>
      <c r="E352" s="85"/>
      <c r="F352" s="80" t="str">
        <f t="shared" si="56"/>
        <v/>
      </c>
      <c r="G352" s="118"/>
      <c r="H352" s="80" t="str">
        <f t="shared" si="57"/>
        <v/>
      </c>
      <c r="I352" s="80" t="str">
        <f t="shared" si="58"/>
        <v/>
      </c>
      <c r="J352" s="117"/>
      <c r="K352" s="117"/>
      <c r="L352" s="117"/>
      <c r="M352" s="84"/>
      <c r="O352" s="75" t="str">
        <f t="shared" si="59"/>
        <v/>
      </c>
      <c r="P352" s="75" t="str">
        <f t="shared" si="60"/>
        <v/>
      </c>
      <c r="Q352" s="75" t="str">
        <f t="shared" si="61"/>
        <v/>
      </c>
      <c r="R352" s="75" t="str">
        <f t="shared" si="62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5"/>
        <v/>
      </c>
      <c r="E353" s="85"/>
      <c r="F353" s="80" t="str">
        <f t="shared" si="56"/>
        <v/>
      </c>
      <c r="G353" s="118"/>
      <c r="H353" s="80" t="str">
        <f t="shared" si="57"/>
        <v/>
      </c>
      <c r="I353" s="80" t="str">
        <f t="shared" si="58"/>
        <v/>
      </c>
      <c r="J353" s="117"/>
      <c r="K353" s="117"/>
      <c r="L353" s="117"/>
      <c r="M353" s="84"/>
      <c r="O353" s="75" t="str">
        <f t="shared" si="59"/>
        <v/>
      </c>
      <c r="P353" s="75" t="str">
        <f t="shared" si="60"/>
        <v/>
      </c>
      <c r="Q353" s="75" t="str">
        <f t="shared" si="61"/>
        <v/>
      </c>
      <c r="R353" s="75" t="str">
        <f t="shared" si="62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5"/>
        <v/>
      </c>
      <c r="E354" s="85"/>
      <c r="F354" s="80" t="str">
        <f t="shared" si="56"/>
        <v/>
      </c>
      <c r="G354" s="118"/>
      <c r="H354" s="80" t="str">
        <f t="shared" si="57"/>
        <v/>
      </c>
      <c r="I354" s="80" t="str">
        <f t="shared" si="58"/>
        <v/>
      </c>
      <c r="J354" s="117"/>
      <c r="K354" s="117"/>
      <c r="L354" s="117"/>
      <c r="M354" s="84"/>
      <c r="O354" s="75" t="str">
        <f t="shared" si="59"/>
        <v/>
      </c>
      <c r="P354" s="75" t="str">
        <f t="shared" si="60"/>
        <v/>
      </c>
      <c r="Q354" s="75" t="str">
        <f t="shared" si="61"/>
        <v/>
      </c>
      <c r="R354" s="75" t="str">
        <f t="shared" si="62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5"/>
        <v/>
      </c>
      <c r="E355" s="85"/>
      <c r="F355" s="80" t="str">
        <f t="shared" si="56"/>
        <v/>
      </c>
      <c r="G355" s="118"/>
      <c r="H355" s="80" t="str">
        <f t="shared" si="57"/>
        <v/>
      </c>
      <c r="I355" s="80" t="str">
        <f t="shared" si="58"/>
        <v/>
      </c>
      <c r="J355" s="117"/>
      <c r="K355" s="117"/>
      <c r="L355" s="117"/>
      <c r="M355" s="84"/>
      <c r="O355" s="75" t="str">
        <f t="shared" si="59"/>
        <v/>
      </c>
      <c r="P355" s="75" t="str">
        <f t="shared" si="60"/>
        <v/>
      </c>
      <c r="Q355" s="75" t="str">
        <f t="shared" si="61"/>
        <v/>
      </c>
      <c r="R355" s="75" t="str">
        <f t="shared" si="62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5"/>
        <v/>
      </c>
      <c r="E356" s="85"/>
      <c r="F356" s="80" t="str">
        <f t="shared" si="56"/>
        <v/>
      </c>
      <c r="G356" s="118"/>
      <c r="H356" s="80" t="str">
        <f t="shared" si="57"/>
        <v/>
      </c>
      <c r="I356" s="80" t="str">
        <f t="shared" si="58"/>
        <v/>
      </c>
      <c r="J356" s="117"/>
      <c r="K356" s="117"/>
      <c r="L356" s="117"/>
      <c r="M356" s="84"/>
      <c r="O356" s="75" t="str">
        <f t="shared" si="59"/>
        <v/>
      </c>
      <c r="P356" s="75" t="str">
        <f t="shared" si="60"/>
        <v/>
      </c>
      <c r="Q356" s="75" t="str">
        <f t="shared" si="61"/>
        <v/>
      </c>
      <c r="R356" s="75" t="str">
        <f t="shared" si="62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5"/>
        <v/>
      </c>
      <c r="E357" s="85"/>
      <c r="F357" s="80" t="str">
        <f t="shared" si="56"/>
        <v/>
      </c>
      <c r="G357" s="118"/>
      <c r="H357" s="80" t="str">
        <f t="shared" si="57"/>
        <v/>
      </c>
      <c r="I357" s="80" t="str">
        <f t="shared" si="58"/>
        <v/>
      </c>
      <c r="J357" s="117"/>
      <c r="K357" s="117"/>
      <c r="L357" s="117"/>
      <c r="M357" s="84"/>
      <c r="O357" s="75" t="str">
        <f t="shared" si="59"/>
        <v/>
      </c>
      <c r="P357" s="75" t="str">
        <f t="shared" si="60"/>
        <v/>
      </c>
      <c r="Q357" s="75" t="str">
        <f t="shared" si="61"/>
        <v/>
      </c>
      <c r="R357" s="75" t="str">
        <f t="shared" si="62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5"/>
        <v/>
      </c>
      <c r="E358" s="85"/>
      <c r="F358" s="80" t="str">
        <f t="shared" si="56"/>
        <v/>
      </c>
      <c r="G358" s="118"/>
      <c r="H358" s="80" t="str">
        <f t="shared" si="57"/>
        <v/>
      </c>
      <c r="I358" s="80" t="str">
        <f t="shared" si="58"/>
        <v/>
      </c>
      <c r="J358" s="117"/>
      <c r="K358" s="117"/>
      <c r="L358" s="117"/>
      <c r="M358" s="84"/>
      <c r="O358" s="75" t="str">
        <f t="shared" si="59"/>
        <v/>
      </c>
      <c r="P358" s="75" t="str">
        <f t="shared" si="60"/>
        <v/>
      </c>
      <c r="Q358" s="75" t="str">
        <f t="shared" si="61"/>
        <v/>
      </c>
      <c r="R358" s="75" t="str">
        <f t="shared" si="62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5"/>
        <v/>
      </c>
      <c r="E359" s="85"/>
      <c r="F359" s="80" t="str">
        <f t="shared" si="56"/>
        <v/>
      </c>
      <c r="G359" s="118"/>
      <c r="H359" s="80" t="str">
        <f t="shared" si="57"/>
        <v/>
      </c>
      <c r="I359" s="80" t="str">
        <f t="shared" si="58"/>
        <v/>
      </c>
      <c r="J359" s="117"/>
      <c r="K359" s="117"/>
      <c r="L359" s="117"/>
      <c r="M359" s="84"/>
      <c r="O359" s="75" t="str">
        <f t="shared" si="59"/>
        <v/>
      </c>
      <c r="P359" s="75" t="str">
        <f t="shared" si="60"/>
        <v/>
      </c>
      <c r="Q359" s="75" t="str">
        <f t="shared" si="61"/>
        <v/>
      </c>
      <c r="R359" s="75" t="str">
        <f t="shared" si="62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5"/>
        <v/>
      </c>
      <c r="E360" s="85"/>
      <c r="F360" s="80" t="str">
        <f t="shared" si="56"/>
        <v/>
      </c>
      <c r="G360" s="118"/>
      <c r="H360" s="80" t="str">
        <f t="shared" si="57"/>
        <v/>
      </c>
      <c r="I360" s="80" t="str">
        <f t="shared" si="58"/>
        <v/>
      </c>
      <c r="J360" s="117"/>
      <c r="K360" s="117"/>
      <c r="L360" s="117"/>
      <c r="M360" s="84"/>
      <c r="O360" s="75" t="str">
        <f t="shared" si="59"/>
        <v/>
      </c>
      <c r="P360" s="75" t="str">
        <f t="shared" si="60"/>
        <v/>
      </c>
      <c r="Q360" s="75" t="str">
        <f t="shared" si="61"/>
        <v/>
      </c>
      <c r="R360" s="75" t="str">
        <f t="shared" si="62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5"/>
        <v/>
      </c>
      <c r="E361" s="85"/>
      <c r="F361" s="80" t="str">
        <f t="shared" si="56"/>
        <v/>
      </c>
      <c r="G361" s="118"/>
      <c r="H361" s="80" t="str">
        <f t="shared" si="57"/>
        <v/>
      </c>
      <c r="I361" s="80" t="str">
        <f t="shared" si="58"/>
        <v/>
      </c>
      <c r="J361" s="117"/>
      <c r="K361" s="117"/>
      <c r="L361" s="117"/>
      <c r="M361" s="84"/>
      <c r="O361" s="75" t="str">
        <f t="shared" si="59"/>
        <v/>
      </c>
      <c r="P361" s="75" t="str">
        <f t="shared" si="60"/>
        <v/>
      </c>
      <c r="Q361" s="75" t="str">
        <f t="shared" si="61"/>
        <v/>
      </c>
      <c r="R361" s="75" t="str">
        <f t="shared" si="62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5"/>
        <v/>
      </c>
      <c r="E362" s="85"/>
      <c r="F362" s="80" t="str">
        <f t="shared" si="56"/>
        <v/>
      </c>
      <c r="G362" s="118"/>
      <c r="H362" s="80" t="str">
        <f t="shared" si="57"/>
        <v/>
      </c>
      <c r="I362" s="80" t="str">
        <f t="shared" si="58"/>
        <v/>
      </c>
      <c r="J362" s="117"/>
      <c r="K362" s="117"/>
      <c r="L362" s="117"/>
      <c r="M362" s="84"/>
      <c r="O362" s="75" t="str">
        <f t="shared" si="59"/>
        <v/>
      </c>
      <c r="P362" s="75" t="str">
        <f t="shared" si="60"/>
        <v/>
      </c>
      <c r="Q362" s="75" t="str">
        <f t="shared" si="61"/>
        <v/>
      </c>
      <c r="R362" s="75" t="str">
        <f t="shared" si="62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5"/>
        <v/>
      </c>
      <c r="E363" s="85"/>
      <c r="F363" s="80" t="str">
        <f t="shared" si="56"/>
        <v/>
      </c>
      <c r="G363" s="118"/>
      <c r="H363" s="80" t="str">
        <f t="shared" si="57"/>
        <v/>
      </c>
      <c r="I363" s="80" t="str">
        <f t="shared" si="58"/>
        <v/>
      </c>
      <c r="J363" s="117"/>
      <c r="K363" s="117"/>
      <c r="L363" s="117"/>
      <c r="M363" s="84"/>
      <c r="O363" s="75" t="str">
        <f t="shared" si="59"/>
        <v/>
      </c>
      <c r="P363" s="75" t="str">
        <f t="shared" si="60"/>
        <v/>
      </c>
      <c r="Q363" s="75" t="str">
        <f t="shared" si="61"/>
        <v/>
      </c>
      <c r="R363" s="75" t="str">
        <f t="shared" si="62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5"/>
        <v/>
      </c>
      <c r="E364" s="85"/>
      <c r="F364" s="80" t="str">
        <f t="shared" si="56"/>
        <v/>
      </c>
      <c r="G364" s="118"/>
      <c r="H364" s="80" t="str">
        <f t="shared" si="57"/>
        <v/>
      </c>
      <c r="I364" s="80" t="str">
        <f t="shared" si="58"/>
        <v/>
      </c>
      <c r="J364" s="117"/>
      <c r="K364" s="117"/>
      <c r="L364" s="117"/>
      <c r="M364" s="84"/>
      <c r="O364" s="75" t="str">
        <f t="shared" si="59"/>
        <v/>
      </c>
      <c r="P364" s="75" t="str">
        <f t="shared" si="60"/>
        <v/>
      </c>
      <c r="Q364" s="75" t="str">
        <f t="shared" si="61"/>
        <v/>
      </c>
      <c r="R364" s="75" t="str">
        <f t="shared" si="62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5"/>
        <v/>
      </c>
      <c r="E365" s="85"/>
      <c r="F365" s="80" t="str">
        <f t="shared" si="56"/>
        <v/>
      </c>
      <c r="G365" s="118"/>
      <c r="H365" s="80" t="str">
        <f t="shared" si="57"/>
        <v/>
      </c>
      <c r="I365" s="80" t="str">
        <f t="shared" si="58"/>
        <v/>
      </c>
      <c r="J365" s="117"/>
      <c r="K365" s="117"/>
      <c r="L365" s="117"/>
      <c r="M365" s="84"/>
      <c r="O365" s="75" t="str">
        <f t="shared" si="59"/>
        <v/>
      </c>
      <c r="P365" s="75" t="str">
        <f t="shared" si="60"/>
        <v/>
      </c>
      <c r="Q365" s="75" t="str">
        <f t="shared" si="61"/>
        <v/>
      </c>
      <c r="R365" s="75" t="str">
        <f t="shared" si="62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5"/>
        <v/>
      </c>
      <c r="E366" s="85"/>
      <c r="F366" s="80" t="str">
        <f t="shared" si="56"/>
        <v/>
      </c>
      <c r="G366" s="118"/>
      <c r="H366" s="80" t="str">
        <f t="shared" si="57"/>
        <v/>
      </c>
      <c r="I366" s="80" t="str">
        <f t="shared" si="58"/>
        <v/>
      </c>
      <c r="J366" s="117"/>
      <c r="K366" s="117"/>
      <c r="L366" s="117"/>
      <c r="M366" s="84"/>
      <c r="O366" s="75" t="str">
        <f t="shared" si="59"/>
        <v/>
      </c>
      <c r="P366" s="75" t="str">
        <f t="shared" si="60"/>
        <v/>
      </c>
      <c r="Q366" s="75" t="str">
        <f t="shared" si="61"/>
        <v/>
      </c>
      <c r="R366" s="75" t="str">
        <f t="shared" si="62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5"/>
        <v/>
      </c>
      <c r="E367" s="85"/>
      <c r="F367" s="80" t="str">
        <f t="shared" si="56"/>
        <v/>
      </c>
      <c r="G367" s="118"/>
      <c r="H367" s="80" t="str">
        <f t="shared" si="57"/>
        <v/>
      </c>
      <c r="I367" s="80" t="str">
        <f t="shared" si="58"/>
        <v/>
      </c>
      <c r="J367" s="117"/>
      <c r="K367" s="117"/>
      <c r="L367" s="117"/>
      <c r="M367" s="84"/>
      <c r="O367" s="75" t="str">
        <f t="shared" si="59"/>
        <v/>
      </c>
      <c r="P367" s="75" t="str">
        <f t="shared" si="60"/>
        <v/>
      </c>
      <c r="Q367" s="75" t="str">
        <f t="shared" si="61"/>
        <v/>
      </c>
      <c r="R367" s="75" t="str">
        <f t="shared" si="62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5"/>
        <v/>
      </c>
      <c r="E368" s="85"/>
      <c r="F368" s="80" t="str">
        <f t="shared" si="56"/>
        <v/>
      </c>
      <c r="G368" s="118"/>
      <c r="H368" s="80" t="str">
        <f t="shared" si="57"/>
        <v/>
      </c>
      <c r="I368" s="80" t="str">
        <f t="shared" si="58"/>
        <v/>
      </c>
      <c r="J368" s="117"/>
      <c r="K368" s="117"/>
      <c r="L368" s="117"/>
      <c r="M368" s="84"/>
      <c r="O368" s="75" t="str">
        <f t="shared" si="59"/>
        <v/>
      </c>
      <c r="P368" s="75" t="str">
        <f t="shared" si="60"/>
        <v/>
      </c>
      <c r="Q368" s="75" t="str">
        <f t="shared" si="61"/>
        <v/>
      </c>
      <c r="R368" s="75" t="str">
        <f t="shared" si="62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5"/>
        <v/>
      </c>
      <c r="E369" s="85"/>
      <c r="F369" s="80" t="str">
        <f t="shared" si="56"/>
        <v/>
      </c>
      <c r="G369" s="118"/>
      <c r="H369" s="80" t="str">
        <f t="shared" si="57"/>
        <v/>
      </c>
      <c r="I369" s="80" t="str">
        <f t="shared" si="58"/>
        <v/>
      </c>
      <c r="J369" s="117"/>
      <c r="K369" s="117"/>
      <c r="L369" s="117"/>
      <c r="M369" s="84"/>
      <c r="O369" s="75" t="str">
        <f t="shared" si="59"/>
        <v/>
      </c>
      <c r="P369" s="75" t="str">
        <f t="shared" si="60"/>
        <v/>
      </c>
      <c r="Q369" s="75" t="str">
        <f t="shared" si="61"/>
        <v/>
      </c>
      <c r="R369" s="75" t="str">
        <f t="shared" si="62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5"/>
        <v/>
      </c>
      <c r="E370" s="85"/>
      <c r="F370" s="80" t="str">
        <f t="shared" si="56"/>
        <v/>
      </c>
      <c r="G370" s="118"/>
      <c r="H370" s="80" t="str">
        <f t="shared" si="57"/>
        <v/>
      </c>
      <c r="I370" s="80" t="str">
        <f t="shared" si="58"/>
        <v/>
      </c>
      <c r="J370" s="117"/>
      <c r="K370" s="117"/>
      <c r="L370" s="117"/>
      <c r="M370" s="84"/>
      <c r="O370" s="75" t="str">
        <f t="shared" si="59"/>
        <v/>
      </c>
      <c r="P370" s="75" t="str">
        <f t="shared" si="60"/>
        <v/>
      </c>
      <c r="Q370" s="75" t="str">
        <f t="shared" si="61"/>
        <v/>
      </c>
      <c r="R370" s="75" t="str">
        <f t="shared" si="62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5"/>
        <v/>
      </c>
      <c r="E371" s="85"/>
      <c r="F371" s="80" t="str">
        <f t="shared" si="56"/>
        <v/>
      </c>
      <c r="G371" s="118"/>
      <c r="H371" s="80" t="str">
        <f t="shared" si="57"/>
        <v/>
      </c>
      <c r="I371" s="80" t="str">
        <f t="shared" si="58"/>
        <v/>
      </c>
      <c r="J371" s="117"/>
      <c r="K371" s="117"/>
      <c r="L371" s="117"/>
      <c r="M371" s="84"/>
      <c r="O371" s="75" t="str">
        <f t="shared" si="59"/>
        <v/>
      </c>
      <c r="P371" s="75" t="str">
        <f t="shared" si="60"/>
        <v/>
      </c>
      <c r="Q371" s="75" t="str">
        <f t="shared" si="61"/>
        <v/>
      </c>
      <c r="R371" s="75" t="str">
        <f t="shared" si="62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5"/>
        <v/>
      </c>
      <c r="E372" s="85"/>
      <c r="F372" s="80" t="str">
        <f t="shared" si="56"/>
        <v/>
      </c>
      <c r="G372" s="118"/>
      <c r="H372" s="80" t="str">
        <f t="shared" si="57"/>
        <v/>
      </c>
      <c r="I372" s="80" t="str">
        <f t="shared" si="58"/>
        <v/>
      </c>
      <c r="J372" s="117"/>
      <c r="K372" s="117"/>
      <c r="L372" s="117"/>
      <c r="M372" s="84"/>
      <c r="O372" s="75" t="str">
        <f t="shared" si="59"/>
        <v/>
      </c>
      <c r="P372" s="75" t="str">
        <f t="shared" si="60"/>
        <v/>
      </c>
      <c r="Q372" s="75" t="str">
        <f t="shared" si="61"/>
        <v/>
      </c>
      <c r="R372" s="75" t="str">
        <f t="shared" si="62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5"/>
        <v/>
      </c>
      <c r="E373" s="85"/>
      <c r="F373" s="80" t="str">
        <f t="shared" si="56"/>
        <v/>
      </c>
      <c r="G373" s="118"/>
      <c r="H373" s="80" t="str">
        <f t="shared" si="57"/>
        <v/>
      </c>
      <c r="I373" s="80" t="str">
        <f t="shared" si="58"/>
        <v/>
      </c>
      <c r="J373" s="117"/>
      <c r="K373" s="117"/>
      <c r="L373" s="117"/>
      <c r="M373" s="84"/>
      <c r="O373" s="75" t="str">
        <f t="shared" si="59"/>
        <v/>
      </c>
      <c r="P373" s="75" t="str">
        <f t="shared" si="60"/>
        <v/>
      </c>
      <c r="Q373" s="75" t="str">
        <f t="shared" si="61"/>
        <v/>
      </c>
      <c r="R373" s="75" t="str">
        <f t="shared" si="62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5"/>
        <v/>
      </c>
      <c r="E374" s="85"/>
      <c r="F374" s="80" t="str">
        <f t="shared" si="56"/>
        <v/>
      </c>
      <c r="G374" s="118"/>
      <c r="H374" s="80" t="str">
        <f t="shared" si="57"/>
        <v/>
      </c>
      <c r="I374" s="80" t="str">
        <f t="shared" si="58"/>
        <v/>
      </c>
      <c r="J374" s="117"/>
      <c r="K374" s="117"/>
      <c r="L374" s="117"/>
      <c r="M374" s="84"/>
      <c r="O374" s="75" t="str">
        <f t="shared" si="59"/>
        <v/>
      </c>
      <c r="P374" s="75" t="str">
        <f t="shared" si="60"/>
        <v/>
      </c>
      <c r="Q374" s="75" t="str">
        <f t="shared" si="61"/>
        <v/>
      </c>
      <c r="R374" s="75" t="str">
        <f t="shared" si="62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5"/>
        <v/>
      </c>
      <c r="E375" s="85"/>
      <c r="F375" s="80" t="str">
        <f t="shared" si="56"/>
        <v/>
      </c>
      <c r="G375" s="118"/>
      <c r="H375" s="80" t="str">
        <f t="shared" si="57"/>
        <v/>
      </c>
      <c r="I375" s="80" t="str">
        <f t="shared" si="58"/>
        <v/>
      </c>
      <c r="J375" s="117"/>
      <c r="K375" s="117"/>
      <c r="L375" s="117"/>
      <c r="M375" s="84"/>
      <c r="O375" s="75" t="str">
        <f t="shared" si="59"/>
        <v/>
      </c>
      <c r="P375" s="75" t="str">
        <f t="shared" si="60"/>
        <v/>
      </c>
      <c r="Q375" s="75" t="str">
        <f t="shared" si="61"/>
        <v/>
      </c>
      <c r="R375" s="75" t="str">
        <f t="shared" si="62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5"/>
        <v/>
      </c>
      <c r="E376" s="85"/>
      <c r="F376" s="80" t="str">
        <f t="shared" si="56"/>
        <v/>
      </c>
      <c r="G376" s="118"/>
      <c r="H376" s="80" t="str">
        <f t="shared" si="57"/>
        <v/>
      </c>
      <c r="I376" s="80" t="str">
        <f t="shared" si="58"/>
        <v/>
      </c>
      <c r="J376" s="117"/>
      <c r="K376" s="117"/>
      <c r="L376" s="117"/>
      <c r="M376" s="84"/>
      <c r="O376" s="75" t="str">
        <f t="shared" si="59"/>
        <v/>
      </c>
      <c r="P376" s="75" t="str">
        <f t="shared" si="60"/>
        <v/>
      </c>
      <c r="Q376" s="75" t="str">
        <f t="shared" si="61"/>
        <v/>
      </c>
      <c r="R376" s="75" t="str">
        <f t="shared" si="62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5"/>
        <v/>
      </c>
      <c r="E377" s="85"/>
      <c r="F377" s="80" t="str">
        <f t="shared" si="56"/>
        <v/>
      </c>
      <c r="G377" s="118"/>
      <c r="H377" s="80" t="str">
        <f t="shared" si="57"/>
        <v/>
      </c>
      <c r="I377" s="80" t="str">
        <f t="shared" si="58"/>
        <v/>
      </c>
      <c r="J377" s="117"/>
      <c r="K377" s="117"/>
      <c r="L377" s="117"/>
      <c r="M377" s="84"/>
      <c r="O377" s="75" t="str">
        <f t="shared" si="59"/>
        <v/>
      </c>
      <c r="P377" s="75" t="str">
        <f t="shared" si="60"/>
        <v/>
      </c>
      <c r="Q377" s="75" t="str">
        <f t="shared" si="61"/>
        <v/>
      </c>
      <c r="R377" s="75" t="str">
        <f t="shared" si="62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5"/>
        <v/>
      </c>
      <c r="E378" s="85"/>
      <c r="F378" s="80" t="str">
        <f t="shared" si="56"/>
        <v/>
      </c>
      <c r="G378" s="118"/>
      <c r="H378" s="80" t="str">
        <f t="shared" si="57"/>
        <v/>
      </c>
      <c r="I378" s="80" t="str">
        <f t="shared" si="58"/>
        <v/>
      </c>
      <c r="J378" s="117"/>
      <c r="K378" s="117"/>
      <c r="L378" s="117"/>
      <c r="M378" s="84"/>
      <c r="O378" s="75" t="str">
        <f t="shared" si="59"/>
        <v/>
      </c>
      <c r="P378" s="75" t="str">
        <f t="shared" si="60"/>
        <v/>
      </c>
      <c r="Q378" s="75" t="str">
        <f t="shared" si="61"/>
        <v/>
      </c>
      <c r="R378" s="75" t="str">
        <f t="shared" si="62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5"/>
        <v/>
      </c>
      <c r="E379" s="85"/>
      <c r="F379" s="80" t="str">
        <f t="shared" si="56"/>
        <v/>
      </c>
      <c r="G379" s="118"/>
      <c r="H379" s="80" t="str">
        <f t="shared" si="57"/>
        <v/>
      </c>
      <c r="I379" s="80" t="str">
        <f t="shared" si="58"/>
        <v/>
      </c>
      <c r="J379" s="117"/>
      <c r="K379" s="117"/>
      <c r="L379" s="117"/>
      <c r="M379" s="84"/>
      <c r="O379" s="75" t="str">
        <f t="shared" si="59"/>
        <v/>
      </c>
      <c r="P379" s="75" t="str">
        <f t="shared" si="60"/>
        <v/>
      </c>
      <c r="Q379" s="75" t="str">
        <f t="shared" si="61"/>
        <v/>
      </c>
      <c r="R379" s="75" t="str">
        <f t="shared" si="62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5"/>
        <v/>
      </c>
      <c r="E380" s="85"/>
      <c r="F380" s="80" t="str">
        <f t="shared" si="56"/>
        <v/>
      </c>
      <c r="G380" s="118"/>
      <c r="H380" s="80" t="str">
        <f t="shared" si="57"/>
        <v/>
      </c>
      <c r="I380" s="80" t="str">
        <f t="shared" si="58"/>
        <v/>
      </c>
      <c r="J380" s="117"/>
      <c r="K380" s="117"/>
      <c r="L380" s="117"/>
      <c r="M380" s="84"/>
      <c r="O380" s="75" t="str">
        <f t="shared" si="59"/>
        <v/>
      </c>
      <c r="P380" s="75" t="str">
        <f t="shared" si="60"/>
        <v/>
      </c>
      <c r="Q380" s="75" t="str">
        <f t="shared" si="61"/>
        <v/>
      </c>
      <c r="R380" s="75" t="str">
        <f t="shared" si="62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5"/>
        <v/>
      </c>
      <c r="E381" s="85"/>
      <c r="F381" s="80" t="str">
        <f t="shared" si="56"/>
        <v/>
      </c>
      <c r="G381" s="118"/>
      <c r="H381" s="80" t="str">
        <f t="shared" si="57"/>
        <v/>
      </c>
      <c r="I381" s="80" t="str">
        <f t="shared" si="58"/>
        <v/>
      </c>
      <c r="J381" s="117"/>
      <c r="K381" s="117"/>
      <c r="L381" s="117"/>
      <c r="M381" s="84"/>
      <c r="O381" s="75" t="str">
        <f t="shared" si="59"/>
        <v/>
      </c>
      <c r="P381" s="75" t="str">
        <f t="shared" si="60"/>
        <v/>
      </c>
      <c r="Q381" s="75" t="str">
        <f t="shared" si="61"/>
        <v/>
      </c>
      <c r="R381" s="75" t="str">
        <f t="shared" si="62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5"/>
        <v/>
      </c>
      <c r="E382" s="85"/>
      <c r="F382" s="80" t="str">
        <f t="shared" si="56"/>
        <v/>
      </c>
      <c r="G382" s="118"/>
      <c r="H382" s="80" t="str">
        <f t="shared" si="57"/>
        <v/>
      </c>
      <c r="I382" s="80" t="str">
        <f t="shared" si="58"/>
        <v/>
      </c>
      <c r="J382" s="117"/>
      <c r="K382" s="117"/>
      <c r="L382" s="117"/>
      <c r="M382" s="84"/>
      <c r="O382" s="75" t="str">
        <f t="shared" si="59"/>
        <v/>
      </c>
      <c r="P382" s="75" t="str">
        <f t="shared" si="60"/>
        <v/>
      </c>
      <c r="Q382" s="75" t="str">
        <f t="shared" si="61"/>
        <v/>
      </c>
      <c r="R382" s="75" t="str">
        <f t="shared" si="62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5"/>
        <v/>
      </c>
      <c r="E383" s="85"/>
      <c r="F383" s="80" t="str">
        <f t="shared" si="56"/>
        <v/>
      </c>
      <c r="G383" s="118"/>
      <c r="H383" s="80" t="str">
        <f t="shared" si="57"/>
        <v/>
      </c>
      <c r="I383" s="80" t="str">
        <f t="shared" si="58"/>
        <v/>
      </c>
      <c r="J383" s="117"/>
      <c r="K383" s="117"/>
      <c r="L383" s="117"/>
      <c r="M383" s="84"/>
      <c r="O383" s="75" t="str">
        <f t="shared" si="59"/>
        <v/>
      </c>
      <c r="P383" s="75" t="str">
        <f t="shared" si="60"/>
        <v/>
      </c>
      <c r="Q383" s="75" t="str">
        <f t="shared" si="61"/>
        <v/>
      </c>
      <c r="R383" s="75" t="str">
        <f t="shared" si="62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5"/>
        <v/>
      </c>
      <c r="E384" s="85"/>
      <c r="F384" s="80" t="str">
        <f t="shared" si="56"/>
        <v/>
      </c>
      <c r="G384" s="118"/>
      <c r="H384" s="80" t="str">
        <f t="shared" si="57"/>
        <v/>
      </c>
      <c r="I384" s="80" t="str">
        <f t="shared" si="58"/>
        <v/>
      </c>
      <c r="J384" s="117"/>
      <c r="K384" s="117"/>
      <c r="L384" s="117"/>
      <c r="M384" s="84"/>
      <c r="O384" s="75" t="str">
        <f t="shared" si="59"/>
        <v/>
      </c>
      <c r="P384" s="75" t="str">
        <f t="shared" si="60"/>
        <v/>
      </c>
      <c r="Q384" s="75" t="str">
        <f t="shared" si="61"/>
        <v/>
      </c>
      <c r="R384" s="75" t="str">
        <f t="shared" si="62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5"/>
        <v/>
      </c>
      <c r="E385" s="85"/>
      <c r="F385" s="80" t="str">
        <f t="shared" si="56"/>
        <v/>
      </c>
      <c r="G385" s="118"/>
      <c r="H385" s="80" t="str">
        <f t="shared" si="57"/>
        <v/>
      </c>
      <c r="I385" s="80" t="str">
        <f t="shared" si="58"/>
        <v/>
      </c>
      <c r="J385" s="117"/>
      <c r="K385" s="117"/>
      <c r="L385" s="117"/>
      <c r="M385" s="84"/>
      <c r="O385" s="75" t="str">
        <f t="shared" si="59"/>
        <v/>
      </c>
      <c r="P385" s="75" t="str">
        <f t="shared" si="60"/>
        <v/>
      </c>
      <c r="Q385" s="75" t="str">
        <f t="shared" si="61"/>
        <v/>
      </c>
      <c r="R385" s="75" t="str">
        <f t="shared" si="62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5"/>
        <v/>
      </c>
      <c r="E386" s="85"/>
      <c r="F386" s="80" t="str">
        <f t="shared" si="56"/>
        <v/>
      </c>
      <c r="G386" s="118"/>
      <c r="H386" s="80" t="str">
        <f t="shared" si="57"/>
        <v/>
      </c>
      <c r="I386" s="80" t="str">
        <f t="shared" si="58"/>
        <v/>
      </c>
      <c r="J386" s="117"/>
      <c r="K386" s="117"/>
      <c r="L386" s="117"/>
      <c r="M386" s="84"/>
      <c r="O386" s="75" t="str">
        <f t="shared" si="59"/>
        <v/>
      </c>
      <c r="P386" s="75" t="str">
        <f t="shared" si="60"/>
        <v/>
      </c>
      <c r="Q386" s="75" t="str">
        <f t="shared" si="61"/>
        <v/>
      </c>
      <c r="R386" s="75" t="str">
        <f t="shared" si="62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63">IFERROR(VLOOKUP(C387,$S$6:$T$25,2,FALSE),"")</f>
        <v/>
      </c>
      <c r="E387" s="85"/>
      <c r="F387" s="80" t="str">
        <f t="shared" ref="F387:F450" si="64">IFERROR(VLOOKUP(E387,$V$5:$X$152,2,FALSE),"")</f>
        <v/>
      </c>
      <c r="G387" s="118"/>
      <c r="H387" s="80" t="str">
        <f t="shared" ref="H387:H450" si="65">IFERROR(VLOOKUP(G387,$AB$6:$AC$350,2,FALSE),"")</f>
        <v/>
      </c>
      <c r="I387" s="80" t="str">
        <f t="shared" ref="I387:I450" si="66">IFERROR(VLOOKUP(G387,$AB$6:$AF$350,3,FALSE),"")</f>
        <v/>
      </c>
      <c r="J387" s="117"/>
      <c r="K387" s="117"/>
      <c r="L387" s="117"/>
      <c r="M387" s="84"/>
      <c r="O387" s="75" t="str">
        <f t="shared" ref="O387:O450" si="67">LEFT(E387,3)</f>
        <v/>
      </c>
      <c r="P387" s="75" t="str">
        <f t="shared" ref="P387:P450" si="68">LEFT(E387,2)</f>
        <v/>
      </c>
      <c r="Q387" s="75" t="str">
        <f t="shared" ref="Q387:Q450" si="69">LEFT(C387,3)</f>
        <v/>
      </c>
      <c r="R387" s="75" t="str">
        <f t="shared" si="62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3"/>
        <v/>
      </c>
      <c r="E388" s="85"/>
      <c r="F388" s="80" t="str">
        <f t="shared" si="64"/>
        <v/>
      </c>
      <c r="G388" s="118"/>
      <c r="H388" s="80" t="str">
        <f t="shared" si="65"/>
        <v/>
      </c>
      <c r="I388" s="80" t="str">
        <f t="shared" si="66"/>
        <v/>
      </c>
      <c r="J388" s="117"/>
      <c r="K388" s="117"/>
      <c r="L388" s="117"/>
      <c r="M388" s="84"/>
      <c r="O388" s="75" t="str">
        <f t="shared" si="67"/>
        <v/>
      </c>
      <c r="P388" s="75" t="str">
        <f t="shared" si="68"/>
        <v/>
      </c>
      <c r="Q388" s="75" t="str">
        <f t="shared" si="69"/>
        <v/>
      </c>
      <c r="R388" s="75" t="str">
        <f t="shared" si="62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3"/>
        <v/>
      </c>
      <c r="E389" s="85"/>
      <c r="F389" s="80" t="str">
        <f t="shared" si="64"/>
        <v/>
      </c>
      <c r="G389" s="118"/>
      <c r="H389" s="80" t="str">
        <f t="shared" si="65"/>
        <v/>
      </c>
      <c r="I389" s="80" t="str">
        <f t="shared" si="66"/>
        <v/>
      </c>
      <c r="J389" s="117"/>
      <c r="K389" s="117"/>
      <c r="L389" s="117"/>
      <c r="M389" s="84"/>
      <c r="O389" s="75" t="str">
        <f t="shared" si="67"/>
        <v/>
      </c>
      <c r="P389" s="75" t="str">
        <f t="shared" si="68"/>
        <v/>
      </c>
      <c r="Q389" s="75" t="str">
        <f t="shared" si="69"/>
        <v/>
      </c>
      <c r="R389" s="75" t="str">
        <f t="shared" si="62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3"/>
        <v/>
      </c>
      <c r="E390" s="85"/>
      <c r="F390" s="80" t="str">
        <f t="shared" si="64"/>
        <v/>
      </c>
      <c r="G390" s="118"/>
      <c r="H390" s="80" t="str">
        <f t="shared" si="65"/>
        <v/>
      </c>
      <c r="I390" s="80" t="str">
        <f t="shared" si="66"/>
        <v/>
      </c>
      <c r="J390" s="117"/>
      <c r="K390" s="117"/>
      <c r="L390" s="117"/>
      <c r="M390" s="84"/>
      <c r="O390" s="75" t="str">
        <f t="shared" si="67"/>
        <v/>
      </c>
      <c r="P390" s="75" t="str">
        <f t="shared" si="68"/>
        <v/>
      </c>
      <c r="Q390" s="75" t="str">
        <f t="shared" si="69"/>
        <v/>
      </c>
      <c r="R390" s="75" t="str">
        <f t="shared" si="62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3"/>
        <v/>
      </c>
      <c r="E391" s="85"/>
      <c r="F391" s="80" t="str">
        <f t="shared" si="64"/>
        <v/>
      </c>
      <c r="G391" s="118"/>
      <c r="H391" s="80" t="str">
        <f t="shared" si="65"/>
        <v/>
      </c>
      <c r="I391" s="80" t="str">
        <f t="shared" si="66"/>
        <v/>
      </c>
      <c r="J391" s="117"/>
      <c r="K391" s="117"/>
      <c r="L391" s="117"/>
      <c r="M391" s="84"/>
      <c r="O391" s="75" t="str">
        <f t="shared" si="67"/>
        <v/>
      </c>
      <c r="P391" s="75" t="str">
        <f t="shared" si="68"/>
        <v/>
      </c>
      <c r="Q391" s="75" t="str">
        <f t="shared" si="69"/>
        <v/>
      </c>
      <c r="R391" s="75" t="str">
        <f t="shared" si="62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3"/>
        <v/>
      </c>
      <c r="E392" s="85"/>
      <c r="F392" s="80" t="str">
        <f t="shared" si="64"/>
        <v/>
      </c>
      <c r="G392" s="118"/>
      <c r="H392" s="80" t="str">
        <f t="shared" si="65"/>
        <v/>
      </c>
      <c r="I392" s="80" t="str">
        <f t="shared" si="66"/>
        <v/>
      </c>
      <c r="J392" s="117"/>
      <c r="K392" s="117"/>
      <c r="L392" s="117"/>
      <c r="M392" s="84"/>
      <c r="O392" s="75" t="str">
        <f t="shared" si="67"/>
        <v/>
      </c>
      <c r="P392" s="75" t="str">
        <f t="shared" si="68"/>
        <v/>
      </c>
      <c r="Q392" s="75" t="str">
        <f t="shared" si="69"/>
        <v/>
      </c>
      <c r="R392" s="75" t="str">
        <f t="shared" si="62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3"/>
        <v/>
      </c>
      <c r="E393" s="85"/>
      <c r="F393" s="80" t="str">
        <f t="shared" si="64"/>
        <v/>
      </c>
      <c r="G393" s="118"/>
      <c r="H393" s="80" t="str">
        <f t="shared" si="65"/>
        <v/>
      </c>
      <c r="I393" s="80" t="str">
        <f t="shared" si="66"/>
        <v/>
      </c>
      <c r="J393" s="117"/>
      <c r="K393" s="117"/>
      <c r="L393" s="117"/>
      <c r="M393" s="84"/>
      <c r="O393" s="75" t="str">
        <f t="shared" si="67"/>
        <v/>
      </c>
      <c r="P393" s="75" t="str">
        <f t="shared" si="68"/>
        <v/>
      </c>
      <c r="Q393" s="75" t="str">
        <f t="shared" si="69"/>
        <v/>
      </c>
      <c r="R393" s="75" t="str">
        <f t="shared" si="62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3"/>
        <v/>
      </c>
      <c r="E394" s="85"/>
      <c r="F394" s="80" t="str">
        <f t="shared" si="64"/>
        <v/>
      </c>
      <c r="G394" s="118"/>
      <c r="H394" s="80" t="str">
        <f t="shared" si="65"/>
        <v/>
      </c>
      <c r="I394" s="80" t="str">
        <f t="shared" si="66"/>
        <v/>
      </c>
      <c r="J394" s="117"/>
      <c r="K394" s="117"/>
      <c r="L394" s="117"/>
      <c r="M394" s="84"/>
      <c r="O394" s="75" t="str">
        <f t="shared" si="67"/>
        <v/>
      </c>
      <c r="P394" s="75" t="str">
        <f t="shared" si="68"/>
        <v/>
      </c>
      <c r="Q394" s="75" t="str">
        <f t="shared" si="69"/>
        <v/>
      </c>
      <c r="R394" s="75" t="str">
        <f t="shared" si="62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3"/>
        <v/>
      </c>
      <c r="E395" s="85"/>
      <c r="F395" s="80" t="str">
        <f t="shared" si="64"/>
        <v/>
      </c>
      <c r="G395" s="118"/>
      <c r="H395" s="80" t="str">
        <f t="shared" si="65"/>
        <v/>
      </c>
      <c r="I395" s="80" t="str">
        <f t="shared" si="66"/>
        <v/>
      </c>
      <c r="J395" s="117"/>
      <c r="K395" s="117"/>
      <c r="L395" s="117"/>
      <c r="M395" s="84"/>
      <c r="O395" s="75" t="str">
        <f t="shared" si="67"/>
        <v/>
      </c>
      <c r="P395" s="75" t="str">
        <f t="shared" si="68"/>
        <v/>
      </c>
      <c r="Q395" s="75" t="str">
        <f t="shared" si="69"/>
        <v/>
      </c>
      <c r="R395" s="75" t="str">
        <f t="shared" si="62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3"/>
        <v/>
      </c>
      <c r="E396" s="85"/>
      <c r="F396" s="80" t="str">
        <f t="shared" si="64"/>
        <v/>
      </c>
      <c r="G396" s="118"/>
      <c r="H396" s="80" t="str">
        <f t="shared" si="65"/>
        <v/>
      </c>
      <c r="I396" s="80" t="str">
        <f t="shared" si="66"/>
        <v/>
      </c>
      <c r="J396" s="117"/>
      <c r="K396" s="117"/>
      <c r="L396" s="117"/>
      <c r="M396" s="84"/>
      <c r="O396" s="75" t="str">
        <f t="shared" si="67"/>
        <v/>
      </c>
      <c r="P396" s="75" t="str">
        <f t="shared" si="68"/>
        <v/>
      </c>
      <c r="Q396" s="75" t="str">
        <f t="shared" si="69"/>
        <v/>
      </c>
      <c r="R396" s="75" t="str">
        <f t="shared" si="62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3"/>
        <v/>
      </c>
      <c r="E397" s="85"/>
      <c r="F397" s="80" t="str">
        <f t="shared" si="64"/>
        <v/>
      </c>
      <c r="G397" s="118"/>
      <c r="H397" s="80" t="str">
        <f t="shared" si="65"/>
        <v/>
      </c>
      <c r="I397" s="80" t="str">
        <f t="shared" si="66"/>
        <v/>
      </c>
      <c r="J397" s="117"/>
      <c r="K397" s="117"/>
      <c r="L397" s="117"/>
      <c r="M397" s="84"/>
      <c r="O397" s="75" t="str">
        <f t="shared" si="67"/>
        <v/>
      </c>
      <c r="P397" s="75" t="str">
        <f t="shared" si="68"/>
        <v/>
      </c>
      <c r="Q397" s="75" t="str">
        <f t="shared" si="69"/>
        <v/>
      </c>
      <c r="R397" s="75" t="str">
        <f t="shared" si="62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3"/>
        <v/>
      </c>
      <c r="E398" s="85"/>
      <c r="F398" s="80" t="str">
        <f t="shared" si="64"/>
        <v/>
      </c>
      <c r="G398" s="118"/>
      <c r="H398" s="80" t="str">
        <f t="shared" si="65"/>
        <v/>
      </c>
      <c r="I398" s="80" t="str">
        <f t="shared" si="66"/>
        <v/>
      </c>
      <c r="J398" s="117"/>
      <c r="K398" s="117"/>
      <c r="L398" s="117"/>
      <c r="M398" s="84"/>
      <c r="O398" s="75" t="str">
        <f t="shared" si="67"/>
        <v/>
      </c>
      <c r="P398" s="75" t="str">
        <f t="shared" si="68"/>
        <v/>
      </c>
      <c r="Q398" s="75" t="str">
        <f t="shared" si="69"/>
        <v/>
      </c>
      <c r="R398" s="75" t="str">
        <f t="shared" si="62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3"/>
        <v/>
      </c>
      <c r="E399" s="85"/>
      <c r="F399" s="80" t="str">
        <f t="shared" si="64"/>
        <v/>
      </c>
      <c r="G399" s="118"/>
      <c r="H399" s="80" t="str">
        <f t="shared" si="65"/>
        <v/>
      </c>
      <c r="I399" s="80" t="str">
        <f t="shared" si="66"/>
        <v/>
      </c>
      <c r="J399" s="117"/>
      <c r="K399" s="117"/>
      <c r="L399" s="117"/>
      <c r="M399" s="84"/>
      <c r="O399" s="75" t="str">
        <f t="shared" si="67"/>
        <v/>
      </c>
      <c r="P399" s="75" t="str">
        <f t="shared" si="68"/>
        <v/>
      </c>
      <c r="Q399" s="75" t="str">
        <f t="shared" si="69"/>
        <v/>
      </c>
      <c r="R399" s="75" t="str">
        <f t="shared" si="62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3"/>
        <v/>
      </c>
      <c r="E400" s="85"/>
      <c r="F400" s="80" t="str">
        <f t="shared" si="64"/>
        <v/>
      </c>
      <c r="G400" s="118"/>
      <c r="H400" s="80" t="str">
        <f t="shared" si="65"/>
        <v/>
      </c>
      <c r="I400" s="80" t="str">
        <f t="shared" si="66"/>
        <v/>
      </c>
      <c r="J400" s="117"/>
      <c r="K400" s="117"/>
      <c r="L400" s="117"/>
      <c r="M400" s="84"/>
      <c r="O400" s="75" t="str">
        <f t="shared" si="67"/>
        <v/>
      </c>
      <c r="P400" s="75" t="str">
        <f t="shared" si="68"/>
        <v/>
      </c>
      <c r="Q400" s="75" t="str">
        <f t="shared" si="69"/>
        <v/>
      </c>
      <c r="R400" s="75" t="str">
        <f t="shared" si="62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3"/>
        <v/>
      </c>
      <c r="E401" s="85"/>
      <c r="F401" s="80" t="str">
        <f t="shared" si="64"/>
        <v/>
      </c>
      <c r="G401" s="118"/>
      <c r="H401" s="80" t="str">
        <f t="shared" si="65"/>
        <v/>
      </c>
      <c r="I401" s="80" t="str">
        <f t="shared" si="66"/>
        <v/>
      </c>
      <c r="J401" s="117"/>
      <c r="K401" s="117"/>
      <c r="L401" s="117"/>
      <c r="M401" s="84"/>
      <c r="O401" s="75" t="str">
        <f t="shared" si="67"/>
        <v/>
      </c>
      <c r="P401" s="75" t="str">
        <f t="shared" si="68"/>
        <v/>
      </c>
      <c r="Q401" s="75" t="str">
        <f t="shared" si="69"/>
        <v/>
      </c>
      <c r="R401" s="75" t="str">
        <f t="shared" ref="R401:R464" si="70">MID(I401,2,2)</f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3"/>
        <v/>
      </c>
      <c r="E402" s="85"/>
      <c r="F402" s="80" t="str">
        <f t="shared" si="64"/>
        <v/>
      </c>
      <c r="G402" s="118"/>
      <c r="H402" s="80" t="str">
        <f t="shared" si="65"/>
        <v/>
      </c>
      <c r="I402" s="80" t="str">
        <f t="shared" si="66"/>
        <v/>
      </c>
      <c r="J402" s="117"/>
      <c r="K402" s="117"/>
      <c r="L402" s="117"/>
      <c r="M402" s="84"/>
      <c r="O402" s="75" t="str">
        <f t="shared" si="67"/>
        <v/>
      </c>
      <c r="P402" s="75" t="str">
        <f t="shared" si="68"/>
        <v/>
      </c>
      <c r="Q402" s="75" t="str">
        <f t="shared" si="69"/>
        <v/>
      </c>
      <c r="R402" s="75" t="str">
        <f t="shared" si="70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3"/>
        <v/>
      </c>
      <c r="E403" s="85"/>
      <c r="F403" s="80" t="str">
        <f t="shared" si="64"/>
        <v/>
      </c>
      <c r="G403" s="118"/>
      <c r="H403" s="80" t="str">
        <f t="shared" si="65"/>
        <v/>
      </c>
      <c r="I403" s="80" t="str">
        <f t="shared" si="66"/>
        <v/>
      </c>
      <c r="J403" s="117"/>
      <c r="K403" s="117"/>
      <c r="L403" s="117"/>
      <c r="M403" s="84"/>
      <c r="O403" s="75" t="str">
        <f t="shared" si="67"/>
        <v/>
      </c>
      <c r="P403" s="75" t="str">
        <f t="shared" si="68"/>
        <v/>
      </c>
      <c r="Q403" s="75" t="str">
        <f t="shared" si="69"/>
        <v/>
      </c>
      <c r="R403" s="75" t="str">
        <f t="shared" si="70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3"/>
        <v/>
      </c>
      <c r="E404" s="85"/>
      <c r="F404" s="80" t="str">
        <f t="shared" si="64"/>
        <v/>
      </c>
      <c r="G404" s="118"/>
      <c r="H404" s="80" t="str">
        <f t="shared" si="65"/>
        <v/>
      </c>
      <c r="I404" s="80" t="str">
        <f t="shared" si="66"/>
        <v/>
      </c>
      <c r="J404" s="117"/>
      <c r="K404" s="117"/>
      <c r="L404" s="117"/>
      <c r="M404" s="84"/>
      <c r="O404" s="75" t="str">
        <f t="shared" si="67"/>
        <v/>
      </c>
      <c r="P404" s="75" t="str">
        <f t="shared" si="68"/>
        <v/>
      </c>
      <c r="Q404" s="75" t="str">
        <f t="shared" si="69"/>
        <v/>
      </c>
      <c r="R404" s="75" t="str">
        <f t="shared" si="70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3"/>
        <v/>
      </c>
      <c r="E405" s="85"/>
      <c r="F405" s="80" t="str">
        <f t="shared" si="64"/>
        <v/>
      </c>
      <c r="G405" s="118"/>
      <c r="H405" s="80" t="str">
        <f t="shared" si="65"/>
        <v/>
      </c>
      <c r="I405" s="80" t="str">
        <f t="shared" si="66"/>
        <v/>
      </c>
      <c r="J405" s="117"/>
      <c r="K405" s="117"/>
      <c r="L405" s="117"/>
      <c r="M405" s="84"/>
      <c r="O405" s="75" t="str">
        <f t="shared" si="67"/>
        <v/>
      </c>
      <c r="P405" s="75" t="str">
        <f t="shared" si="68"/>
        <v/>
      </c>
      <c r="Q405" s="75" t="str">
        <f t="shared" si="69"/>
        <v/>
      </c>
      <c r="R405" s="75" t="str">
        <f t="shared" si="70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3"/>
        <v/>
      </c>
      <c r="E406" s="85"/>
      <c r="F406" s="80" t="str">
        <f t="shared" si="64"/>
        <v/>
      </c>
      <c r="G406" s="118"/>
      <c r="H406" s="80" t="str">
        <f t="shared" si="65"/>
        <v/>
      </c>
      <c r="I406" s="80" t="str">
        <f t="shared" si="66"/>
        <v/>
      </c>
      <c r="J406" s="117"/>
      <c r="K406" s="117"/>
      <c r="L406" s="117"/>
      <c r="M406" s="84"/>
      <c r="O406" s="75" t="str">
        <f t="shared" si="67"/>
        <v/>
      </c>
      <c r="P406" s="75" t="str">
        <f t="shared" si="68"/>
        <v/>
      </c>
      <c r="Q406" s="75" t="str">
        <f t="shared" si="69"/>
        <v/>
      </c>
      <c r="R406" s="75" t="str">
        <f t="shared" si="70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3"/>
        <v/>
      </c>
      <c r="E407" s="85"/>
      <c r="F407" s="80" t="str">
        <f t="shared" si="64"/>
        <v/>
      </c>
      <c r="G407" s="118"/>
      <c r="H407" s="80" t="str">
        <f t="shared" si="65"/>
        <v/>
      </c>
      <c r="I407" s="80" t="str">
        <f t="shared" si="66"/>
        <v/>
      </c>
      <c r="J407" s="117"/>
      <c r="K407" s="117"/>
      <c r="L407" s="117"/>
      <c r="M407" s="84"/>
      <c r="O407" s="75" t="str">
        <f t="shared" si="67"/>
        <v/>
      </c>
      <c r="P407" s="75" t="str">
        <f t="shared" si="68"/>
        <v/>
      </c>
      <c r="Q407" s="75" t="str">
        <f t="shared" si="69"/>
        <v/>
      </c>
      <c r="R407" s="75" t="str">
        <f t="shared" si="70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3"/>
        <v/>
      </c>
      <c r="E408" s="85"/>
      <c r="F408" s="80" t="str">
        <f t="shared" si="64"/>
        <v/>
      </c>
      <c r="G408" s="118"/>
      <c r="H408" s="80" t="str">
        <f t="shared" si="65"/>
        <v/>
      </c>
      <c r="I408" s="80" t="str">
        <f t="shared" si="66"/>
        <v/>
      </c>
      <c r="J408" s="117"/>
      <c r="K408" s="117"/>
      <c r="L408" s="117"/>
      <c r="M408" s="84"/>
      <c r="O408" s="75" t="str">
        <f t="shared" si="67"/>
        <v/>
      </c>
      <c r="P408" s="75" t="str">
        <f t="shared" si="68"/>
        <v/>
      </c>
      <c r="Q408" s="75" t="str">
        <f t="shared" si="69"/>
        <v/>
      </c>
      <c r="R408" s="75" t="str">
        <f t="shared" si="70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3"/>
        <v/>
      </c>
      <c r="E409" s="85"/>
      <c r="F409" s="80" t="str">
        <f t="shared" si="64"/>
        <v/>
      </c>
      <c r="G409" s="118"/>
      <c r="H409" s="80" t="str">
        <f t="shared" si="65"/>
        <v/>
      </c>
      <c r="I409" s="80" t="str">
        <f t="shared" si="66"/>
        <v/>
      </c>
      <c r="J409" s="117"/>
      <c r="K409" s="117"/>
      <c r="L409" s="117"/>
      <c r="M409" s="84"/>
      <c r="O409" s="75" t="str">
        <f t="shared" si="67"/>
        <v/>
      </c>
      <c r="P409" s="75" t="str">
        <f t="shared" si="68"/>
        <v/>
      </c>
      <c r="Q409" s="75" t="str">
        <f t="shared" si="69"/>
        <v/>
      </c>
      <c r="R409" s="75" t="str">
        <f t="shared" si="70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3"/>
        <v/>
      </c>
      <c r="E410" s="85"/>
      <c r="F410" s="80" t="str">
        <f t="shared" si="64"/>
        <v/>
      </c>
      <c r="G410" s="118"/>
      <c r="H410" s="80" t="str">
        <f t="shared" si="65"/>
        <v/>
      </c>
      <c r="I410" s="80" t="str">
        <f t="shared" si="66"/>
        <v/>
      </c>
      <c r="J410" s="117"/>
      <c r="K410" s="117"/>
      <c r="L410" s="117"/>
      <c r="M410" s="84"/>
      <c r="O410" s="75" t="str">
        <f t="shared" si="67"/>
        <v/>
      </c>
      <c r="P410" s="75" t="str">
        <f t="shared" si="68"/>
        <v/>
      </c>
      <c r="Q410" s="75" t="str">
        <f t="shared" si="69"/>
        <v/>
      </c>
      <c r="R410" s="75" t="str">
        <f t="shared" si="70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3"/>
        <v/>
      </c>
      <c r="E411" s="85"/>
      <c r="F411" s="80" t="str">
        <f t="shared" si="64"/>
        <v/>
      </c>
      <c r="G411" s="118"/>
      <c r="H411" s="80" t="str">
        <f t="shared" si="65"/>
        <v/>
      </c>
      <c r="I411" s="80" t="str">
        <f t="shared" si="66"/>
        <v/>
      </c>
      <c r="J411" s="117"/>
      <c r="K411" s="117"/>
      <c r="L411" s="117"/>
      <c r="M411" s="84"/>
      <c r="O411" s="75" t="str">
        <f t="shared" si="67"/>
        <v/>
      </c>
      <c r="P411" s="75" t="str">
        <f t="shared" si="68"/>
        <v/>
      </c>
      <c r="Q411" s="75" t="str">
        <f t="shared" si="69"/>
        <v/>
      </c>
      <c r="R411" s="75" t="str">
        <f t="shared" si="70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3"/>
        <v/>
      </c>
      <c r="E412" s="85"/>
      <c r="F412" s="80" t="str">
        <f t="shared" si="64"/>
        <v/>
      </c>
      <c r="G412" s="118"/>
      <c r="H412" s="80" t="str">
        <f t="shared" si="65"/>
        <v/>
      </c>
      <c r="I412" s="80" t="str">
        <f t="shared" si="66"/>
        <v/>
      </c>
      <c r="J412" s="117"/>
      <c r="K412" s="117"/>
      <c r="L412" s="117"/>
      <c r="M412" s="84"/>
      <c r="O412" s="75" t="str">
        <f t="shared" si="67"/>
        <v/>
      </c>
      <c r="P412" s="75" t="str">
        <f t="shared" si="68"/>
        <v/>
      </c>
      <c r="Q412" s="75" t="str">
        <f t="shared" si="69"/>
        <v/>
      </c>
      <c r="R412" s="75" t="str">
        <f t="shared" si="70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3"/>
        <v/>
      </c>
      <c r="E413" s="85"/>
      <c r="F413" s="80" t="str">
        <f t="shared" si="64"/>
        <v/>
      </c>
      <c r="G413" s="118"/>
      <c r="H413" s="80" t="str">
        <f t="shared" si="65"/>
        <v/>
      </c>
      <c r="I413" s="80" t="str">
        <f t="shared" si="66"/>
        <v/>
      </c>
      <c r="J413" s="117"/>
      <c r="K413" s="117"/>
      <c r="L413" s="117"/>
      <c r="M413" s="84"/>
      <c r="O413" s="75" t="str">
        <f t="shared" si="67"/>
        <v/>
      </c>
      <c r="P413" s="75" t="str">
        <f t="shared" si="68"/>
        <v/>
      </c>
      <c r="Q413" s="75" t="str">
        <f t="shared" si="69"/>
        <v/>
      </c>
      <c r="R413" s="75" t="str">
        <f t="shared" si="70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3"/>
        <v/>
      </c>
      <c r="E414" s="85"/>
      <c r="F414" s="80" t="str">
        <f t="shared" si="64"/>
        <v/>
      </c>
      <c r="G414" s="118"/>
      <c r="H414" s="80" t="str">
        <f t="shared" si="65"/>
        <v/>
      </c>
      <c r="I414" s="80" t="str">
        <f t="shared" si="66"/>
        <v/>
      </c>
      <c r="J414" s="117"/>
      <c r="K414" s="117"/>
      <c r="L414" s="117"/>
      <c r="M414" s="84"/>
      <c r="O414" s="75" t="str">
        <f t="shared" si="67"/>
        <v/>
      </c>
      <c r="P414" s="75" t="str">
        <f t="shared" si="68"/>
        <v/>
      </c>
      <c r="Q414" s="75" t="str">
        <f t="shared" si="69"/>
        <v/>
      </c>
      <c r="R414" s="75" t="str">
        <f t="shared" si="70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3"/>
        <v/>
      </c>
      <c r="E415" s="85"/>
      <c r="F415" s="80" t="str">
        <f t="shared" si="64"/>
        <v/>
      </c>
      <c r="G415" s="118"/>
      <c r="H415" s="80" t="str">
        <f t="shared" si="65"/>
        <v/>
      </c>
      <c r="I415" s="80" t="str">
        <f t="shared" si="66"/>
        <v/>
      </c>
      <c r="J415" s="117"/>
      <c r="K415" s="117"/>
      <c r="L415" s="117"/>
      <c r="M415" s="84"/>
      <c r="O415" s="75" t="str">
        <f t="shared" si="67"/>
        <v/>
      </c>
      <c r="P415" s="75" t="str">
        <f t="shared" si="68"/>
        <v/>
      </c>
      <c r="Q415" s="75" t="str">
        <f t="shared" si="69"/>
        <v/>
      </c>
      <c r="R415" s="75" t="str">
        <f t="shared" si="70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3"/>
        <v/>
      </c>
      <c r="E416" s="85"/>
      <c r="F416" s="80" t="str">
        <f t="shared" si="64"/>
        <v/>
      </c>
      <c r="G416" s="118"/>
      <c r="H416" s="80" t="str">
        <f t="shared" si="65"/>
        <v/>
      </c>
      <c r="I416" s="80" t="str">
        <f t="shared" si="66"/>
        <v/>
      </c>
      <c r="J416" s="117"/>
      <c r="K416" s="117"/>
      <c r="L416" s="117"/>
      <c r="M416" s="84"/>
      <c r="O416" s="75" t="str">
        <f t="shared" si="67"/>
        <v/>
      </c>
      <c r="P416" s="75" t="str">
        <f t="shared" si="68"/>
        <v/>
      </c>
      <c r="Q416" s="75" t="str">
        <f t="shared" si="69"/>
        <v/>
      </c>
      <c r="R416" s="75" t="str">
        <f t="shared" si="70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3"/>
        <v/>
      </c>
      <c r="E417" s="85"/>
      <c r="F417" s="80" t="str">
        <f t="shared" si="64"/>
        <v/>
      </c>
      <c r="G417" s="118"/>
      <c r="H417" s="80" t="str">
        <f t="shared" si="65"/>
        <v/>
      </c>
      <c r="I417" s="80" t="str">
        <f t="shared" si="66"/>
        <v/>
      </c>
      <c r="J417" s="117"/>
      <c r="K417" s="117"/>
      <c r="L417" s="117"/>
      <c r="M417" s="84"/>
      <c r="O417" s="75" t="str">
        <f t="shared" si="67"/>
        <v/>
      </c>
      <c r="P417" s="75" t="str">
        <f t="shared" si="68"/>
        <v/>
      </c>
      <c r="Q417" s="75" t="str">
        <f t="shared" si="69"/>
        <v/>
      </c>
      <c r="R417" s="75" t="str">
        <f t="shared" si="70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3"/>
        <v/>
      </c>
      <c r="E418" s="85"/>
      <c r="F418" s="80" t="str">
        <f t="shared" si="64"/>
        <v/>
      </c>
      <c r="G418" s="118"/>
      <c r="H418" s="80" t="str">
        <f t="shared" si="65"/>
        <v/>
      </c>
      <c r="I418" s="80" t="str">
        <f t="shared" si="66"/>
        <v/>
      </c>
      <c r="J418" s="117"/>
      <c r="K418" s="117"/>
      <c r="L418" s="117"/>
      <c r="M418" s="84"/>
      <c r="O418" s="75" t="str">
        <f t="shared" si="67"/>
        <v/>
      </c>
      <c r="P418" s="75" t="str">
        <f t="shared" si="68"/>
        <v/>
      </c>
      <c r="Q418" s="75" t="str">
        <f t="shared" si="69"/>
        <v/>
      </c>
      <c r="R418" s="75" t="str">
        <f t="shared" si="70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3"/>
        <v/>
      </c>
      <c r="E419" s="85"/>
      <c r="F419" s="80" t="str">
        <f t="shared" si="64"/>
        <v/>
      </c>
      <c r="G419" s="118"/>
      <c r="H419" s="80" t="str">
        <f t="shared" si="65"/>
        <v/>
      </c>
      <c r="I419" s="80" t="str">
        <f t="shared" si="66"/>
        <v/>
      </c>
      <c r="J419" s="117"/>
      <c r="K419" s="117"/>
      <c r="L419" s="117"/>
      <c r="M419" s="84"/>
      <c r="O419" s="75" t="str">
        <f t="shared" si="67"/>
        <v/>
      </c>
      <c r="P419" s="75" t="str">
        <f t="shared" si="68"/>
        <v/>
      </c>
      <c r="Q419" s="75" t="str">
        <f t="shared" si="69"/>
        <v/>
      </c>
      <c r="R419" s="75" t="str">
        <f t="shared" si="70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3"/>
        <v/>
      </c>
      <c r="E420" s="85"/>
      <c r="F420" s="80" t="str">
        <f t="shared" si="64"/>
        <v/>
      </c>
      <c r="G420" s="118"/>
      <c r="H420" s="80" t="str">
        <f t="shared" si="65"/>
        <v/>
      </c>
      <c r="I420" s="80" t="str">
        <f t="shared" si="66"/>
        <v/>
      </c>
      <c r="J420" s="117"/>
      <c r="K420" s="117"/>
      <c r="L420" s="117"/>
      <c r="M420" s="84"/>
      <c r="O420" s="75" t="str">
        <f t="shared" si="67"/>
        <v/>
      </c>
      <c r="P420" s="75" t="str">
        <f t="shared" si="68"/>
        <v/>
      </c>
      <c r="Q420" s="75" t="str">
        <f t="shared" si="69"/>
        <v/>
      </c>
      <c r="R420" s="75" t="str">
        <f t="shared" si="70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3"/>
        <v/>
      </c>
      <c r="E421" s="85"/>
      <c r="F421" s="80" t="str">
        <f t="shared" si="64"/>
        <v/>
      </c>
      <c r="G421" s="118"/>
      <c r="H421" s="80" t="str">
        <f t="shared" si="65"/>
        <v/>
      </c>
      <c r="I421" s="80" t="str">
        <f t="shared" si="66"/>
        <v/>
      </c>
      <c r="J421" s="117"/>
      <c r="K421" s="117"/>
      <c r="L421" s="117"/>
      <c r="M421" s="84"/>
      <c r="O421" s="75" t="str">
        <f t="shared" si="67"/>
        <v/>
      </c>
      <c r="P421" s="75" t="str">
        <f t="shared" si="68"/>
        <v/>
      </c>
      <c r="Q421" s="75" t="str">
        <f t="shared" si="69"/>
        <v/>
      </c>
      <c r="R421" s="75" t="str">
        <f t="shared" si="70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3"/>
        <v/>
      </c>
      <c r="E422" s="85"/>
      <c r="F422" s="80" t="str">
        <f t="shared" si="64"/>
        <v/>
      </c>
      <c r="G422" s="118"/>
      <c r="H422" s="80" t="str">
        <f t="shared" si="65"/>
        <v/>
      </c>
      <c r="I422" s="80" t="str">
        <f t="shared" si="66"/>
        <v/>
      </c>
      <c r="J422" s="117"/>
      <c r="K422" s="117"/>
      <c r="L422" s="117"/>
      <c r="M422" s="84"/>
      <c r="O422" s="75" t="str">
        <f t="shared" si="67"/>
        <v/>
      </c>
      <c r="P422" s="75" t="str">
        <f t="shared" si="68"/>
        <v/>
      </c>
      <c r="Q422" s="75" t="str">
        <f t="shared" si="69"/>
        <v/>
      </c>
      <c r="R422" s="75" t="str">
        <f t="shared" si="70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3"/>
        <v/>
      </c>
      <c r="E423" s="85"/>
      <c r="F423" s="80" t="str">
        <f t="shared" si="64"/>
        <v/>
      </c>
      <c r="G423" s="118"/>
      <c r="H423" s="80" t="str">
        <f t="shared" si="65"/>
        <v/>
      </c>
      <c r="I423" s="80" t="str">
        <f t="shared" si="66"/>
        <v/>
      </c>
      <c r="J423" s="117"/>
      <c r="K423" s="117"/>
      <c r="L423" s="117"/>
      <c r="M423" s="84"/>
      <c r="O423" s="75" t="str">
        <f t="shared" si="67"/>
        <v/>
      </c>
      <c r="P423" s="75" t="str">
        <f t="shared" si="68"/>
        <v/>
      </c>
      <c r="Q423" s="75" t="str">
        <f t="shared" si="69"/>
        <v/>
      </c>
      <c r="R423" s="75" t="str">
        <f t="shared" si="70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3"/>
        <v/>
      </c>
      <c r="E424" s="85"/>
      <c r="F424" s="80" t="str">
        <f t="shared" si="64"/>
        <v/>
      </c>
      <c r="G424" s="118"/>
      <c r="H424" s="80" t="str">
        <f t="shared" si="65"/>
        <v/>
      </c>
      <c r="I424" s="80" t="str">
        <f t="shared" si="66"/>
        <v/>
      </c>
      <c r="J424" s="117"/>
      <c r="K424" s="117"/>
      <c r="L424" s="117"/>
      <c r="M424" s="84"/>
      <c r="O424" s="75" t="str">
        <f t="shared" si="67"/>
        <v/>
      </c>
      <c r="P424" s="75" t="str">
        <f t="shared" si="68"/>
        <v/>
      </c>
      <c r="Q424" s="75" t="str">
        <f t="shared" si="69"/>
        <v/>
      </c>
      <c r="R424" s="75" t="str">
        <f t="shared" si="70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3"/>
        <v/>
      </c>
      <c r="E425" s="85"/>
      <c r="F425" s="80" t="str">
        <f t="shared" si="64"/>
        <v/>
      </c>
      <c r="G425" s="118"/>
      <c r="H425" s="80" t="str">
        <f t="shared" si="65"/>
        <v/>
      </c>
      <c r="I425" s="80" t="str">
        <f t="shared" si="66"/>
        <v/>
      </c>
      <c r="J425" s="117"/>
      <c r="K425" s="117"/>
      <c r="L425" s="117"/>
      <c r="M425" s="84"/>
      <c r="O425" s="75" t="str">
        <f t="shared" si="67"/>
        <v/>
      </c>
      <c r="P425" s="75" t="str">
        <f t="shared" si="68"/>
        <v/>
      </c>
      <c r="Q425" s="75" t="str">
        <f t="shared" si="69"/>
        <v/>
      </c>
      <c r="R425" s="75" t="str">
        <f t="shared" si="70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3"/>
        <v/>
      </c>
      <c r="E426" s="85"/>
      <c r="F426" s="80" t="str">
        <f t="shared" si="64"/>
        <v/>
      </c>
      <c r="G426" s="118"/>
      <c r="H426" s="80" t="str">
        <f t="shared" si="65"/>
        <v/>
      </c>
      <c r="I426" s="80" t="str">
        <f t="shared" si="66"/>
        <v/>
      </c>
      <c r="J426" s="117"/>
      <c r="K426" s="117"/>
      <c r="L426" s="117"/>
      <c r="M426" s="84"/>
      <c r="O426" s="75" t="str">
        <f t="shared" si="67"/>
        <v/>
      </c>
      <c r="P426" s="75" t="str">
        <f t="shared" si="68"/>
        <v/>
      </c>
      <c r="Q426" s="75" t="str">
        <f t="shared" si="69"/>
        <v/>
      </c>
      <c r="R426" s="75" t="str">
        <f t="shared" si="70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3"/>
        <v/>
      </c>
      <c r="E427" s="85"/>
      <c r="F427" s="80" t="str">
        <f t="shared" si="64"/>
        <v/>
      </c>
      <c r="G427" s="118"/>
      <c r="H427" s="80" t="str">
        <f t="shared" si="65"/>
        <v/>
      </c>
      <c r="I427" s="80" t="str">
        <f t="shared" si="66"/>
        <v/>
      </c>
      <c r="J427" s="117"/>
      <c r="K427" s="117"/>
      <c r="L427" s="117"/>
      <c r="M427" s="84"/>
      <c r="O427" s="75" t="str">
        <f t="shared" si="67"/>
        <v/>
      </c>
      <c r="P427" s="75" t="str">
        <f t="shared" si="68"/>
        <v/>
      </c>
      <c r="Q427" s="75" t="str">
        <f t="shared" si="69"/>
        <v/>
      </c>
      <c r="R427" s="75" t="str">
        <f t="shared" si="70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3"/>
        <v/>
      </c>
      <c r="E428" s="85"/>
      <c r="F428" s="80" t="str">
        <f t="shared" si="64"/>
        <v/>
      </c>
      <c r="G428" s="118"/>
      <c r="H428" s="80" t="str">
        <f t="shared" si="65"/>
        <v/>
      </c>
      <c r="I428" s="80" t="str">
        <f t="shared" si="66"/>
        <v/>
      </c>
      <c r="J428" s="117"/>
      <c r="K428" s="117"/>
      <c r="L428" s="117"/>
      <c r="M428" s="84"/>
      <c r="O428" s="75" t="str">
        <f t="shared" si="67"/>
        <v/>
      </c>
      <c r="P428" s="75" t="str">
        <f t="shared" si="68"/>
        <v/>
      </c>
      <c r="Q428" s="75" t="str">
        <f t="shared" si="69"/>
        <v/>
      </c>
      <c r="R428" s="75" t="str">
        <f t="shared" si="70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3"/>
        <v/>
      </c>
      <c r="E429" s="85"/>
      <c r="F429" s="80" t="str">
        <f t="shared" si="64"/>
        <v/>
      </c>
      <c r="G429" s="118"/>
      <c r="H429" s="80" t="str">
        <f t="shared" si="65"/>
        <v/>
      </c>
      <c r="I429" s="80" t="str">
        <f t="shared" si="66"/>
        <v/>
      </c>
      <c r="J429" s="117"/>
      <c r="K429" s="117"/>
      <c r="L429" s="117"/>
      <c r="M429" s="84"/>
      <c r="O429" s="75" t="str">
        <f t="shared" si="67"/>
        <v/>
      </c>
      <c r="P429" s="75" t="str">
        <f t="shared" si="68"/>
        <v/>
      </c>
      <c r="Q429" s="75" t="str">
        <f t="shared" si="69"/>
        <v/>
      </c>
      <c r="R429" s="75" t="str">
        <f t="shared" si="70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3"/>
        <v/>
      </c>
      <c r="E430" s="85"/>
      <c r="F430" s="80" t="str">
        <f t="shared" si="64"/>
        <v/>
      </c>
      <c r="G430" s="118"/>
      <c r="H430" s="80" t="str">
        <f t="shared" si="65"/>
        <v/>
      </c>
      <c r="I430" s="80" t="str">
        <f t="shared" si="66"/>
        <v/>
      </c>
      <c r="J430" s="117"/>
      <c r="K430" s="117"/>
      <c r="L430" s="117"/>
      <c r="M430" s="84"/>
      <c r="O430" s="75" t="str">
        <f t="shared" si="67"/>
        <v/>
      </c>
      <c r="P430" s="75" t="str">
        <f t="shared" si="68"/>
        <v/>
      </c>
      <c r="Q430" s="75" t="str">
        <f t="shared" si="69"/>
        <v/>
      </c>
      <c r="R430" s="75" t="str">
        <f t="shared" si="70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3"/>
        <v/>
      </c>
      <c r="E431" s="85"/>
      <c r="F431" s="80" t="str">
        <f t="shared" si="64"/>
        <v/>
      </c>
      <c r="G431" s="118"/>
      <c r="H431" s="80" t="str">
        <f t="shared" si="65"/>
        <v/>
      </c>
      <c r="I431" s="80" t="str">
        <f t="shared" si="66"/>
        <v/>
      </c>
      <c r="J431" s="117"/>
      <c r="K431" s="117"/>
      <c r="L431" s="117"/>
      <c r="M431" s="84"/>
      <c r="O431" s="75" t="str">
        <f t="shared" si="67"/>
        <v/>
      </c>
      <c r="P431" s="75" t="str">
        <f t="shared" si="68"/>
        <v/>
      </c>
      <c r="Q431" s="75" t="str">
        <f t="shared" si="69"/>
        <v/>
      </c>
      <c r="R431" s="75" t="str">
        <f t="shared" si="70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3"/>
        <v/>
      </c>
      <c r="E432" s="85"/>
      <c r="F432" s="80" t="str">
        <f t="shared" si="64"/>
        <v/>
      </c>
      <c r="G432" s="118"/>
      <c r="H432" s="80" t="str">
        <f t="shared" si="65"/>
        <v/>
      </c>
      <c r="I432" s="80" t="str">
        <f t="shared" si="66"/>
        <v/>
      </c>
      <c r="J432" s="117"/>
      <c r="K432" s="117"/>
      <c r="L432" s="117"/>
      <c r="M432" s="84"/>
      <c r="O432" s="75" t="str">
        <f t="shared" si="67"/>
        <v/>
      </c>
      <c r="P432" s="75" t="str">
        <f t="shared" si="68"/>
        <v/>
      </c>
      <c r="Q432" s="75" t="str">
        <f t="shared" si="69"/>
        <v/>
      </c>
      <c r="R432" s="75" t="str">
        <f t="shared" si="70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3"/>
        <v/>
      </c>
      <c r="E433" s="85"/>
      <c r="F433" s="80" t="str">
        <f t="shared" si="64"/>
        <v/>
      </c>
      <c r="G433" s="118"/>
      <c r="H433" s="80" t="str">
        <f t="shared" si="65"/>
        <v/>
      </c>
      <c r="I433" s="80" t="str">
        <f t="shared" si="66"/>
        <v/>
      </c>
      <c r="J433" s="117"/>
      <c r="K433" s="117"/>
      <c r="L433" s="117"/>
      <c r="M433" s="84"/>
      <c r="O433" s="75" t="str">
        <f t="shared" si="67"/>
        <v/>
      </c>
      <c r="P433" s="75" t="str">
        <f t="shared" si="68"/>
        <v/>
      </c>
      <c r="Q433" s="75" t="str">
        <f t="shared" si="69"/>
        <v/>
      </c>
      <c r="R433" s="75" t="str">
        <f t="shared" si="70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3"/>
        <v/>
      </c>
      <c r="E434" s="85"/>
      <c r="F434" s="80" t="str">
        <f t="shared" si="64"/>
        <v/>
      </c>
      <c r="G434" s="118"/>
      <c r="H434" s="80" t="str">
        <f t="shared" si="65"/>
        <v/>
      </c>
      <c r="I434" s="80" t="str">
        <f t="shared" si="66"/>
        <v/>
      </c>
      <c r="J434" s="117"/>
      <c r="K434" s="117"/>
      <c r="L434" s="117"/>
      <c r="M434" s="84"/>
      <c r="O434" s="75" t="str">
        <f t="shared" si="67"/>
        <v/>
      </c>
      <c r="P434" s="75" t="str">
        <f t="shared" si="68"/>
        <v/>
      </c>
      <c r="Q434" s="75" t="str">
        <f t="shared" si="69"/>
        <v/>
      </c>
      <c r="R434" s="75" t="str">
        <f t="shared" si="70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3"/>
        <v/>
      </c>
      <c r="E435" s="85"/>
      <c r="F435" s="80" t="str">
        <f t="shared" si="64"/>
        <v/>
      </c>
      <c r="G435" s="118"/>
      <c r="H435" s="80" t="str">
        <f t="shared" si="65"/>
        <v/>
      </c>
      <c r="I435" s="80" t="str">
        <f t="shared" si="66"/>
        <v/>
      </c>
      <c r="J435" s="117"/>
      <c r="K435" s="117"/>
      <c r="L435" s="117"/>
      <c r="M435" s="84"/>
      <c r="O435" s="75" t="str">
        <f t="shared" si="67"/>
        <v/>
      </c>
      <c r="P435" s="75" t="str">
        <f t="shared" si="68"/>
        <v/>
      </c>
      <c r="Q435" s="75" t="str">
        <f t="shared" si="69"/>
        <v/>
      </c>
      <c r="R435" s="75" t="str">
        <f t="shared" si="70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3"/>
        <v/>
      </c>
      <c r="E436" s="85"/>
      <c r="F436" s="80" t="str">
        <f t="shared" si="64"/>
        <v/>
      </c>
      <c r="G436" s="118"/>
      <c r="H436" s="80" t="str">
        <f t="shared" si="65"/>
        <v/>
      </c>
      <c r="I436" s="80" t="str">
        <f t="shared" si="66"/>
        <v/>
      </c>
      <c r="J436" s="117"/>
      <c r="K436" s="117"/>
      <c r="L436" s="117"/>
      <c r="M436" s="84"/>
      <c r="O436" s="75" t="str">
        <f t="shared" si="67"/>
        <v/>
      </c>
      <c r="P436" s="75" t="str">
        <f t="shared" si="68"/>
        <v/>
      </c>
      <c r="Q436" s="75" t="str">
        <f t="shared" si="69"/>
        <v/>
      </c>
      <c r="R436" s="75" t="str">
        <f t="shared" si="70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3"/>
        <v/>
      </c>
      <c r="E437" s="85"/>
      <c r="F437" s="80" t="str">
        <f t="shared" si="64"/>
        <v/>
      </c>
      <c r="G437" s="118"/>
      <c r="H437" s="80" t="str">
        <f t="shared" si="65"/>
        <v/>
      </c>
      <c r="I437" s="80" t="str">
        <f t="shared" si="66"/>
        <v/>
      </c>
      <c r="J437" s="117"/>
      <c r="K437" s="117"/>
      <c r="L437" s="117"/>
      <c r="M437" s="84"/>
      <c r="O437" s="75" t="str">
        <f t="shared" si="67"/>
        <v/>
      </c>
      <c r="P437" s="75" t="str">
        <f t="shared" si="68"/>
        <v/>
      </c>
      <c r="Q437" s="75" t="str">
        <f t="shared" si="69"/>
        <v/>
      </c>
      <c r="R437" s="75" t="str">
        <f t="shared" si="70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3"/>
        <v/>
      </c>
      <c r="E438" s="85"/>
      <c r="F438" s="80" t="str">
        <f t="shared" si="64"/>
        <v/>
      </c>
      <c r="G438" s="118"/>
      <c r="H438" s="80" t="str">
        <f t="shared" si="65"/>
        <v/>
      </c>
      <c r="I438" s="80" t="str">
        <f t="shared" si="66"/>
        <v/>
      </c>
      <c r="J438" s="117"/>
      <c r="K438" s="117"/>
      <c r="L438" s="117"/>
      <c r="M438" s="84"/>
      <c r="O438" s="75" t="str">
        <f t="shared" si="67"/>
        <v/>
      </c>
      <c r="P438" s="75" t="str">
        <f t="shared" si="68"/>
        <v/>
      </c>
      <c r="Q438" s="75" t="str">
        <f t="shared" si="69"/>
        <v/>
      </c>
      <c r="R438" s="75" t="str">
        <f t="shared" si="70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3"/>
        <v/>
      </c>
      <c r="E439" s="85"/>
      <c r="F439" s="80" t="str">
        <f t="shared" si="64"/>
        <v/>
      </c>
      <c r="G439" s="118"/>
      <c r="H439" s="80" t="str">
        <f t="shared" si="65"/>
        <v/>
      </c>
      <c r="I439" s="80" t="str">
        <f t="shared" si="66"/>
        <v/>
      </c>
      <c r="J439" s="117"/>
      <c r="K439" s="117"/>
      <c r="L439" s="117"/>
      <c r="M439" s="84"/>
      <c r="O439" s="75" t="str">
        <f t="shared" si="67"/>
        <v/>
      </c>
      <c r="P439" s="75" t="str">
        <f t="shared" si="68"/>
        <v/>
      </c>
      <c r="Q439" s="75" t="str">
        <f t="shared" si="69"/>
        <v/>
      </c>
      <c r="R439" s="75" t="str">
        <f t="shared" si="70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3"/>
        <v/>
      </c>
      <c r="E440" s="85"/>
      <c r="F440" s="80" t="str">
        <f t="shared" si="64"/>
        <v/>
      </c>
      <c r="G440" s="118"/>
      <c r="H440" s="80" t="str">
        <f t="shared" si="65"/>
        <v/>
      </c>
      <c r="I440" s="80" t="str">
        <f t="shared" si="66"/>
        <v/>
      </c>
      <c r="J440" s="117"/>
      <c r="K440" s="117"/>
      <c r="L440" s="117"/>
      <c r="M440" s="84"/>
      <c r="O440" s="75" t="str">
        <f t="shared" si="67"/>
        <v/>
      </c>
      <c r="P440" s="75" t="str">
        <f t="shared" si="68"/>
        <v/>
      </c>
      <c r="Q440" s="75" t="str">
        <f t="shared" si="69"/>
        <v/>
      </c>
      <c r="R440" s="75" t="str">
        <f t="shared" si="70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3"/>
        <v/>
      </c>
      <c r="E441" s="85"/>
      <c r="F441" s="80" t="str">
        <f t="shared" si="64"/>
        <v/>
      </c>
      <c r="G441" s="118"/>
      <c r="H441" s="80" t="str">
        <f t="shared" si="65"/>
        <v/>
      </c>
      <c r="I441" s="80" t="str">
        <f t="shared" si="66"/>
        <v/>
      </c>
      <c r="J441" s="117"/>
      <c r="K441" s="117"/>
      <c r="L441" s="117"/>
      <c r="M441" s="84"/>
      <c r="O441" s="75" t="str">
        <f t="shared" si="67"/>
        <v/>
      </c>
      <c r="P441" s="75" t="str">
        <f t="shared" si="68"/>
        <v/>
      </c>
      <c r="Q441" s="75" t="str">
        <f t="shared" si="69"/>
        <v/>
      </c>
      <c r="R441" s="75" t="str">
        <f t="shared" si="70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3"/>
        <v/>
      </c>
      <c r="E442" s="85"/>
      <c r="F442" s="80" t="str">
        <f t="shared" si="64"/>
        <v/>
      </c>
      <c r="G442" s="118"/>
      <c r="H442" s="80" t="str">
        <f t="shared" si="65"/>
        <v/>
      </c>
      <c r="I442" s="80" t="str">
        <f t="shared" si="66"/>
        <v/>
      </c>
      <c r="J442" s="117"/>
      <c r="K442" s="117"/>
      <c r="L442" s="117"/>
      <c r="M442" s="84"/>
      <c r="O442" s="75" t="str">
        <f t="shared" si="67"/>
        <v/>
      </c>
      <c r="P442" s="75" t="str">
        <f t="shared" si="68"/>
        <v/>
      </c>
      <c r="Q442" s="75" t="str">
        <f t="shared" si="69"/>
        <v/>
      </c>
      <c r="R442" s="75" t="str">
        <f t="shared" si="70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3"/>
        <v/>
      </c>
      <c r="E443" s="85"/>
      <c r="F443" s="80" t="str">
        <f t="shared" si="64"/>
        <v/>
      </c>
      <c r="G443" s="118"/>
      <c r="H443" s="80" t="str">
        <f t="shared" si="65"/>
        <v/>
      </c>
      <c r="I443" s="80" t="str">
        <f t="shared" si="66"/>
        <v/>
      </c>
      <c r="J443" s="117"/>
      <c r="K443" s="117"/>
      <c r="L443" s="117"/>
      <c r="M443" s="84"/>
      <c r="O443" s="75" t="str">
        <f t="shared" si="67"/>
        <v/>
      </c>
      <c r="P443" s="75" t="str">
        <f t="shared" si="68"/>
        <v/>
      </c>
      <c r="Q443" s="75" t="str">
        <f t="shared" si="69"/>
        <v/>
      </c>
      <c r="R443" s="75" t="str">
        <f t="shared" si="70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3"/>
        <v/>
      </c>
      <c r="E444" s="85"/>
      <c r="F444" s="80" t="str">
        <f t="shared" si="64"/>
        <v/>
      </c>
      <c r="G444" s="118"/>
      <c r="H444" s="80" t="str">
        <f t="shared" si="65"/>
        <v/>
      </c>
      <c r="I444" s="80" t="str">
        <f t="shared" si="66"/>
        <v/>
      </c>
      <c r="J444" s="117"/>
      <c r="K444" s="117"/>
      <c r="L444" s="117"/>
      <c r="M444" s="84"/>
      <c r="O444" s="75" t="str">
        <f t="shared" si="67"/>
        <v/>
      </c>
      <c r="P444" s="75" t="str">
        <f t="shared" si="68"/>
        <v/>
      </c>
      <c r="Q444" s="75" t="str">
        <f t="shared" si="69"/>
        <v/>
      </c>
      <c r="R444" s="75" t="str">
        <f t="shared" si="70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3"/>
        <v/>
      </c>
      <c r="E445" s="85"/>
      <c r="F445" s="80" t="str">
        <f t="shared" si="64"/>
        <v/>
      </c>
      <c r="G445" s="118"/>
      <c r="H445" s="80" t="str">
        <f t="shared" si="65"/>
        <v/>
      </c>
      <c r="I445" s="80" t="str">
        <f t="shared" si="66"/>
        <v/>
      </c>
      <c r="J445" s="117"/>
      <c r="K445" s="117"/>
      <c r="L445" s="117"/>
      <c r="M445" s="84"/>
      <c r="O445" s="75" t="str">
        <f t="shared" si="67"/>
        <v/>
      </c>
      <c r="P445" s="75" t="str">
        <f t="shared" si="68"/>
        <v/>
      </c>
      <c r="Q445" s="75" t="str">
        <f t="shared" si="69"/>
        <v/>
      </c>
      <c r="R445" s="75" t="str">
        <f t="shared" si="70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3"/>
        <v/>
      </c>
      <c r="E446" s="85"/>
      <c r="F446" s="80" t="str">
        <f t="shared" si="64"/>
        <v/>
      </c>
      <c r="G446" s="118"/>
      <c r="H446" s="80" t="str">
        <f t="shared" si="65"/>
        <v/>
      </c>
      <c r="I446" s="80" t="str">
        <f t="shared" si="66"/>
        <v/>
      </c>
      <c r="J446" s="117"/>
      <c r="K446" s="117"/>
      <c r="L446" s="117"/>
      <c r="M446" s="84"/>
      <c r="O446" s="75" t="str">
        <f t="shared" si="67"/>
        <v/>
      </c>
      <c r="P446" s="75" t="str">
        <f t="shared" si="68"/>
        <v/>
      </c>
      <c r="Q446" s="75" t="str">
        <f t="shared" si="69"/>
        <v/>
      </c>
      <c r="R446" s="75" t="str">
        <f t="shared" si="70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3"/>
        <v/>
      </c>
      <c r="E447" s="85"/>
      <c r="F447" s="80" t="str">
        <f t="shared" si="64"/>
        <v/>
      </c>
      <c r="G447" s="118"/>
      <c r="H447" s="80" t="str">
        <f t="shared" si="65"/>
        <v/>
      </c>
      <c r="I447" s="80" t="str">
        <f t="shared" si="66"/>
        <v/>
      </c>
      <c r="J447" s="117"/>
      <c r="K447" s="117"/>
      <c r="L447" s="117"/>
      <c r="M447" s="84"/>
      <c r="O447" s="75" t="str">
        <f t="shared" si="67"/>
        <v/>
      </c>
      <c r="P447" s="75" t="str">
        <f t="shared" si="68"/>
        <v/>
      </c>
      <c r="Q447" s="75" t="str">
        <f t="shared" si="69"/>
        <v/>
      </c>
      <c r="R447" s="75" t="str">
        <f t="shared" si="70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3"/>
        <v/>
      </c>
      <c r="E448" s="85"/>
      <c r="F448" s="80" t="str">
        <f t="shared" si="64"/>
        <v/>
      </c>
      <c r="G448" s="118"/>
      <c r="H448" s="80" t="str">
        <f t="shared" si="65"/>
        <v/>
      </c>
      <c r="I448" s="80" t="str">
        <f t="shared" si="66"/>
        <v/>
      </c>
      <c r="J448" s="117"/>
      <c r="K448" s="117"/>
      <c r="L448" s="117"/>
      <c r="M448" s="84"/>
      <c r="O448" s="75" t="str">
        <f t="shared" si="67"/>
        <v/>
      </c>
      <c r="P448" s="75" t="str">
        <f t="shared" si="68"/>
        <v/>
      </c>
      <c r="Q448" s="75" t="str">
        <f t="shared" si="69"/>
        <v/>
      </c>
      <c r="R448" s="75" t="str">
        <f t="shared" si="70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3"/>
        <v/>
      </c>
      <c r="E449" s="85"/>
      <c r="F449" s="80" t="str">
        <f t="shared" si="64"/>
        <v/>
      </c>
      <c r="G449" s="118"/>
      <c r="H449" s="80" t="str">
        <f t="shared" si="65"/>
        <v/>
      </c>
      <c r="I449" s="80" t="str">
        <f t="shared" si="66"/>
        <v/>
      </c>
      <c r="J449" s="117"/>
      <c r="K449" s="117"/>
      <c r="L449" s="117"/>
      <c r="M449" s="84"/>
      <c r="O449" s="75" t="str">
        <f t="shared" si="67"/>
        <v/>
      </c>
      <c r="P449" s="75" t="str">
        <f t="shared" si="68"/>
        <v/>
      </c>
      <c r="Q449" s="75" t="str">
        <f t="shared" si="69"/>
        <v/>
      </c>
      <c r="R449" s="75" t="str">
        <f t="shared" si="70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3"/>
        <v/>
      </c>
      <c r="E450" s="85"/>
      <c r="F450" s="80" t="str">
        <f t="shared" si="64"/>
        <v/>
      </c>
      <c r="G450" s="118"/>
      <c r="H450" s="80" t="str">
        <f t="shared" si="65"/>
        <v/>
      </c>
      <c r="I450" s="80" t="str">
        <f t="shared" si="66"/>
        <v/>
      </c>
      <c r="J450" s="117"/>
      <c r="K450" s="117"/>
      <c r="L450" s="117"/>
      <c r="M450" s="84"/>
      <c r="O450" s="75" t="str">
        <f t="shared" si="67"/>
        <v/>
      </c>
      <c r="P450" s="75" t="str">
        <f t="shared" si="68"/>
        <v/>
      </c>
      <c r="Q450" s="75" t="str">
        <f t="shared" si="69"/>
        <v/>
      </c>
      <c r="R450" s="75" t="str">
        <f t="shared" si="70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14" si="71">IFERROR(VLOOKUP(C451,$S$6:$T$25,2,FALSE),"")</f>
        <v/>
      </c>
      <c r="E451" s="85"/>
      <c r="F451" s="80" t="str">
        <f t="shared" ref="F451:F514" si="72">IFERROR(VLOOKUP(E451,$V$5:$X$152,2,FALSE),"")</f>
        <v/>
      </c>
      <c r="G451" s="118"/>
      <c r="H451" s="80" t="str">
        <f t="shared" ref="H451:H514" si="73">IFERROR(VLOOKUP(G451,$AB$6:$AC$350,2,FALSE),"")</f>
        <v/>
      </c>
      <c r="I451" s="80" t="str">
        <f t="shared" ref="I451:I514" si="74">IFERROR(VLOOKUP(G451,$AB$6:$AF$350,3,FALSE),"")</f>
        <v/>
      </c>
      <c r="J451" s="117"/>
      <c r="K451" s="117"/>
      <c r="L451" s="117"/>
      <c r="M451" s="84"/>
      <c r="O451" s="75" t="str">
        <f t="shared" ref="O451:O514" si="75">LEFT(E451,3)</f>
        <v/>
      </c>
      <c r="P451" s="75" t="str">
        <f t="shared" ref="P451:P514" si="76">LEFT(E451,2)</f>
        <v/>
      </c>
      <c r="Q451" s="75" t="str">
        <f t="shared" ref="Q451:Q514" si="77">LEFT(C451,3)</f>
        <v/>
      </c>
      <c r="R451" s="75" t="str">
        <f t="shared" si="70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71"/>
        <v/>
      </c>
      <c r="E452" s="85"/>
      <c r="F452" s="80" t="str">
        <f t="shared" si="72"/>
        <v/>
      </c>
      <c r="G452" s="118"/>
      <c r="H452" s="80" t="str">
        <f t="shared" si="73"/>
        <v/>
      </c>
      <c r="I452" s="80" t="str">
        <f t="shared" si="74"/>
        <v/>
      </c>
      <c r="J452" s="117"/>
      <c r="K452" s="117"/>
      <c r="L452" s="117"/>
      <c r="M452" s="84"/>
      <c r="O452" s="75" t="str">
        <f t="shared" si="75"/>
        <v/>
      </c>
      <c r="P452" s="75" t="str">
        <f t="shared" si="76"/>
        <v/>
      </c>
      <c r="Q452" s="75" t="str">
        <f t="shared" si="77"/>
        <v/>
      </c>
      <c r="R452" s="75" t="str">
        <f t="shared" si="70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71"/>
        <v/>
      </c>
      <c r="E453" s="85"/>
      <c r="F453" s="80" t="str">
        <f t="shared" si="72"/>
        <v/>
      </c>
      <c r="G453" s="118"/>
      <c r="H453" s="80" t="str">
        <f t="shared" si="73"/>
        <v/>
      </c>
      <c r="I453" s="80" t="str">
        <f t="shared" si="74"/>
        <v/>
      </c>
      <c r="J453" s="117"/>
      <c r="K453" s="117"/>
      <c r="L453" s="117"/>
      <c r="M453" s="84"/>
      <c r="O453" s="75" t="str">
        <f t="shared" si="75"/>
        <v/>
      </c>
      <c r="P453" s="75" t="str">
        <f t="shared" si="76"/>
        <v/>
      </c>
      <c r="Q453" s="75" t="str">
        <f t="shared" si="77"/>
        <v/>
      </c>
      <c r="R453" s="75" t="str">
        <f t="shared" si="70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71"/>
        <v/>
      </c>
      <c r="E454" s="85"/>
      <c r="F454" s="80" t="str">
        <f t="shared" si="72"/>
        <v/>
      </c>
      <c r="G454" s="118"/>
      <c r="H454" s="80" t="str">
        <f t="shared" si="73"/>
        <v/>
      </c>
      <c r="I454" s="80" t="str">
        <f t="shared" si="74"/>
        <v/>
      </c>
      <c r="J454" s="117"/>
      <c r="K454" s="117"/>
      <c r="L454" s="117"/>
      <c r="M454" s="84"/>
      <c r="O454" s="75" t="str">
        <f t="shared" si="75"/>
        <v/>
      </c>
      <c r="P454" s="75" t="str">
        <f t="shared" si="76"/>
        <v/>
      </c>
      <c r="Q454" s="75" t="str">
        <f t="shared" si="77"/>
        <v/>
      </c>
      <c r="R454" s="75" t="str">
        <f t="shared" si="70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71"/>
        <v/>
      </c>
      <c r="E455" s="85"/>
      <c r="F455" s="80" t="str">
        <f t="shared" si="72"/>
        <v/>
      </c>
      <c r="G455" s="118"/>
      <c r="H455" s="80" t="str">
        <f t="shared" si="73"/>
        <v/>
      </c>
      <c r="I455" s="80" t="str">
        <f t="shared" si="74"/>
        <v/>
      </c>
      <c r="J455" s="117"/>
      <c r="K455" s="117"/>
      <c r="L455" s="117"/>
      <c r="M455" s="84"/>
      <c r="O455" s="75" t="str">
        <f t="shared" si="75"/>
        <v/>
      </c>
      <c r="P455" s="75" t="str">
        <f t="shared" si="76"/>
        <v/>
      </c>
      <c r="Q455" s="75" t="str">
        <f t="shared" si="77"/>
        <v/>
      </c>
      <c r="R455" s="75" t="str">
        <f t="shared" si="70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71"/>
        <v/>
      </c>
      <c r="E456" s="85"/>
      <c r="F456" s="80" t="str">
        <f t="shared" si="72"/>
        <v/>
      </c>
      <c r="G456" s="118"/>
      <c r="H456" s="80" t="str">
        <f t="shared" si="73"/>
        <v/>
      </c>
      <c r="I456" s="80" t="str">
        <f t="shared" si="74"/>
        <v/>
      </c>
      <c r="J456" s="117"/>
      <c r="K456" s="117"/>
      <c r="L456" s="117"/>
      <c r="M456" s="84"/>
      <c r="O456" s="75" t="str">
        <f t="shared" si="75"/>
        <v/>
      </c>
      <c r="P456" s="75" t="str">
        <f t="shared" si="76"/>
        <v/>
      </c>
      <c r="Q456" s="75" t="str">
        <f t="shared" si="77"/>
        <v/>
      </c>
      <c r="R456" s="75" t="str">
        <f t="shared" si="70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71"/>
        <v/>
      </c>
      <c r="E457" s="85"/>
      <c r="F457" s="80" t="str">
        <f t="shared" si="72"/>
        <v/>
      </c>
      <c r="G457" s="118"/>
      <c r="H457" s="80" t="str">
        <f t="shared" si="73"/>
        <v/>
      </c>
      <c r="I457" s="80" t="str">
        <f t="shared" si="74"/>
        <v/>
      </c>
      <c r="J457" s="117"/>
      <c r="K457" s="117"/>
      <c r="L457" s="117"/>
      <c r="M457" s="84"/>
      <c r="O457" s="75" t="str">
        <f t="shared" si="75"/>
        <v/>
      </c>
      <c r="P457" s="75" t="str">
        <f t="shared" si="76"/>
        <v/>
      </c>
      <c r="Q457" s="75" t="str">
        <f t="shared" si="77"/>
        <v/>
      </c>
      <c r="R457" s="75" t="str">
        <f t="shared" si="70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71"/>
        <v/>
      </c>
      <c r="E458" s="85"/>
      <c r="F458" s="80" t="str">
        <f t="shared" si="72"/>
        <v/>
      </c>
      <c r="G458" s="118"/>
      <c r="H458" s="80" t="str">
        <f t="shared" si="73"/>
        <v/>
      </c>
      <c r="I458" s="80" t="str">
        <f t="shared" si="74"/>
        <v/>
      </c>
      <c r="J458" s="117"/>
      <c r="K458" s="117"/>
      <c r="L458" s="117"/>
      <c r="M458" s="84"/>
      <c r="O458" s="75" t="str">
        <f t="shared" si="75"/>
        <v/>
      </c>
      <c r="P458" s="75" t="str">
        <f t="shared" si="76"/>
        <v/>
      </c>
      <c r="Q458" s="75" t="str">
        <f t="shared" si="77"/>
        <v/>
      </c>
      <c r="R458" s="75" t="str">
        <f t="shared" si="70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71"/>
        <v/>
      </c>
      <c r="E459" s="85"/>
      <c r="F459" s="80" t="str">
        <f t="shared" si="72"/>
        <v/>
      </c>
      <c r="G459" s="118"/>
      <c r="H459" s="80" t="str">
        <f t="shared" si="73"/>
        <v/>
      </c>
      <c r="I459" s="80" t="str">
        <f t="shared" si="74"/>
        <v/>
      </c>
      <c r="J459" s="117"/>
      <c r="K459" s="117"/>
      <c r="L459" s="117"/>
      <c r="M459" s="84"/>
      <c r="O459" s="75" t="str">
        <f t="shared" si="75"/>
        <v/>
      </c>
      <c r="P459" s="75" t="str">
        <f t="shared" si="76"/>
        <v/>
      </c>
      <c r="Q459" s="75" t="str">
        <f t="shared" si="77"/>
        <v/>
      </c>
      <c r="R459" s="75" t="str">
        <f t="shared" si="70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71"/>
        <v/>
      </c>
      <c r="E460" s="85"/>
      <c r="F460" s="80" t="str">
        <f t="shared" si="72"/>
        <v/>
      </c>
      <c r="G460" s="118"/>
      <c r="H460" s="80" t="str">
        <f t="shared" si="73"/>
        <v/>
      </c>
      <c r="I460" s="80" t="str">
        <f t="shared" si="74"/>
        <v/>
      </c>
      <c r="J460" s="117"/>
      <c r="K460" s="117"/>
      <c r="L460" s="117"/>
      <c r="M460" s="84"/>
      <c r="O460" s="75" t="str">
        <f t="shared" si="75"/>
        <v/>
      </c>
      <c r="P460" s="75" t="str">
        <f t="shared" si="76"/>
        <v/>
      </c>
      <c r="Q460" s="75" t="str">
        <f t="shared" si="77"/>
        <v/>
      </c>
      <c r="R460" s="75" t="str">
        <f t="shared" si="70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71"/>
        <v/>
      </c>
      <c r="E461" s="85"/>
      <c r="F461" s="80" t="str">
        <f t="shared" si="72"/>
        <v/>
      </c>
      <c r="G461" s="118"/>
      <c r="H461" s="80" t="str">
        <f t="shared" si="73"/>
        <v/>
      </c>
      <c r="I461" s="80" t="str">
        <f t="shared" si="74"/>
        <v/>
      </c>
      <c r="J461" s="117"/>
      <c r="K461" s="117"/>
      <c r="L461" s="117"/>
      <c r="M461" s="84"/>
      <c r="O461" s="75" t="str">
        <f t="shared" si="75"/>
        <v/>
      </c>
      <c r="P461" s="75" t="str">
        <f t="shared" si="76"/>
        <v/>
      </c>
      <c r="Q461" s="75" t="str">
        <f t="shared" si="77"/>
        <v/>
      </c>
      <c r="R461" s="75" t="str">
        <f t="shared" si="70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71"/>
        <v/>
      </c>
      <c r="E462" s="85"/>
      <c r="F462" s="80" t="str">
        <f t="shared" si="72"/>
        <v/>
      </c>
      <c r="G462" s="118"/>
      <c r="H462" s="80" t="str">
        <f t="shared" si="73"/>
        <v/>
      </c>
      <c r="I462" s="80" t="str">
        <f t="shared" si="74"/>
        <v/>
      </c>
      <c r="J462" s="117"/>
      <c r="K462" s="117"/>
      <c r="L462" s="117"/>
      <c r="M462" s="84"/>
      <c r="O462" s="75" t="str">
        <f t="shared" si="75"/>
        <v/>
      </c>
      <c r="P462" s="75" t="str">
        <f t="shared" si="76"/>
        <v/>
      </c>
      <c r="Q462" s="75" t="str">
        <f t="shared" si="77"/>
        <v/>
      </c>
      <c r="R462" s="75" t="str">
        <f t="shared" si="70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71"/>
        <v/>
      </c>
      <c r="E463" s="85"/>
      <c r="F463" s="80" t="str">
        <f t="shared" si="72"/>
        <v/>
      </c>
      <c r="G463" s="118"/>
      <c r="H463" s="80" t="str">
        <f t="shared" si="73"/>
        <v/>
      </c>
      <c r="I463" s="80" t="str">
        <f t="shared" si="74"/>
        <v/>
      </c>
      <c r="J463" s="117"/>
      <c r="K463" s="117"/>
      <c r="L463" s="117"/>
      <c r="M463" s="84"/>
      <c r="O463" s="75" t="str">
        <f t="shared" si="75"/>
        <v/>
      </c>
      <c r="P463" s="75" t="str">
        <f t="shared" si="76"/>
        <v/>
      </c>
      <c r="Q463" s="75" t="str">
        <f t="shared" si="77"/>
        <v/>
      </c>
      <c r="R463" s="75" t="str">
        <f t="shared" si="70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71"/>
        <v/>
      </c>
      <c r="E464" s="85"/>
      <c r="F464" s="80" t="str">
        <f t="shared" si="72"/>
        <v/>
      </c>
      <c r="G464" s="118"/>
      <c r="H464" s="80" t="str">
        <f t="shared" si="73"/>
        <v/>
      </c>
      <c r="I464" s="80" t="str">
        <f t="shared" si="74"/>
        <v/>
      </c>
      <c r="J464" s="117"/>
      <c r="K464" s="117"/>
      <c r="L464" s="117"/>
      <c r="M464" s="84"/>
      <c r="O464" s="75" t="str">
        <f t="shared" si="75"/>
        <v/>
      </c>
      <c r="P464" s="75" t="str">
        <f t="shared" si="76"/>
        <v/>
      </c>
      <c r="Q464" s="75" t="str">
        <f t="shared" si="77"/>
        <v/>
      </c>
      <c r="R464" s="75" t="str">
        <f t="shared" si="70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71"/>
        <v/>
      </c>
      <c r="E465" s="85"/>
      <c r="F465" s="80" t="str">
        <f t="shared" si="72"/>
        <v/>
      </c>
      <c r="G465" s="118"/>
      <c r="H465" s="80" t="str">
        <f t="shared" si="73"/>
        <v/>
      </c>
      <c r="I465" s="80" t="str">
        <f t="shared" si="74"/>
        <v/>
      </c>
      <c r="J465" s="117"/>
      <c r="K465" s="117"/>
      <c r="L465" s="117"/>
      <c r="M465" s="84"/>
      <c r="O465" s="75" t="str">
        <f t="shared" si="75"/>
        <v/>
      </c>
      <c r="P465" s="75" t="str">
        <f t="shared" si="76"/>
        <v/>
      </c>
      <c r="Q465" s="75" t="str">
        <f t="shared" si="77"/>
        <v/>
      </c>
      <c r="R465" s="75" t="str">
        <f t="shared" ref="R465:R524" si="78">MID(I465,2,2)</f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71"/>
        <v/>
      </c>
      <c r="E466" s="85"/>
      <c r="F466" s="80" t="str">
        <f t="shared" si="72"/>
        <v/>
      </c>
      <c r="G466" s="118"/>
      <c r="H466" s="80" t="str">
        <f t="shared" si="73"/>
        <v/>
      </c>
      <c r="I466" s="80" t="str">
        <f t="shared" si="74"/>
        <v/>
      </c>
      <c r="J466" s="117"/>
      <c r="K466" s="117"/>
      <c r="L466" s="117"/>
      <c r="M466" s="84"/>
      <c r="O466" s="75" t="str">
        <f t="shared" si="75"/>
        <v/>
      </c>
      <c r="P466" s="75" t="str">
        <f t="shared" si="76"/>
        <v/>
      </c>
      <c r="Q466" s="75" t="str">
        <f t="shared" si="77"/>
        <v/>
      </c>
      <c r="R466" s="75" t="str">
        <f t="shared" si="78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71"/>
        <v/>
      </c>
      <c r="E467" s="85"/>
      <c r="F467" s="80" t="str">
        <f t="shared" si="72"/>
        <v/>
      </c>
      <c r="G467" s="118"/>
      <c r="H467" s="80" t="str">
        <f t="shared" si="73"/>
        <v/>
      </c>
      <c r="I467" s="80" t="str">
        <f t="shared" si="74"/>
        <v/>
      </c>
      <c r="J467" s="117"/>
      <c r="K467" s="117"/>
      <c r="L467" s="117"/>
      <c r="M467" s="84"/>
      <c r="O467" s="75" t="str">
        <f t="shared" si="75"/>
        <v/>
      </c>
      <c r="P467" s="75" t="str">
        <f t="shared" si="76"/>
        <v/>
      </c>
      <c r="Q467" s="75" t="str">
        <f t="shared" si="77"/>
        <v/>
      </c>
      <c r="R467" s="75" t="str">
        <f t="shared" si="78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71"/>
        <v/>
      </c>
      <c r="E468" s="85"/>
      <c r="F468" s="80" t="str">
        <f t="shared" si="72"/>
        <v/>
      </c>
      <c r="G468" s="118"/>
      <c r="H468" s="80" t="str">
        <f t="shared" si="73"/>
        <v/>
      </c>
      <c r="I468" s="80" t="str">
        <f t="shared" si="74"/>
        <v/>
      </c>
      <c r="J468" s="117"/>
      <c r="K468" s="117"/>
      <c r="L468" s="117"/>
      <c r="M468" s="84"/>
      <c r="O468" s="75" t="str">
        <f t="shared" si="75"/>
        <v/>
      </c>
      <c r="P468" s="75" t="str">
        <f t="shared" si="76"/>
        <v/>
      </c>
      <c r="Q468" s="75" t="str">
        <f t="shared" si="77"/>
        <v/>
      </c>
      <c r="R468" s="75" t="str">
        <f t="shared" si="78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71"/>
        <v/>
      </c>
      <c r="E469" s="85"/>
      <c r="F469" s="80" t="str">
        <f t="shared" si="72"/>
        <v/>
      </c>
      <c r="G469" s="118"/>
      <c r="H469" s="80" t="str">
        <f t="shared" si="73"/>
        <v/>
      </c>
      <c r="I469" s="80" t="str">
        <f t="shared" si="74"/>
        <v/>
      </c>
      <c r="J469" s="117"/>
      <c r="K469" s="117"/>
      <c r="L469" s="117"/>
      <c r="M469" s="84"/>
      <c r="O469" s="75" t="str">
        <f t="shared" si="75"/>
        <v/>
      </c>
      <c r="P469" s="75" t="str">
        <f t="shared" si="76"/>
        <v/>
      </c>
      <c r="Q469" s="75" t="str">
        <f t="shared" si="77"/>
        <v/>
      </c>
      <c r="R469" s="75" t="str">
        <f t="shared" si="78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71"/>
        <v/>
      </c>
      <c r="E470" s="85"/>
      <c r="F470" s="80" t="str">
        <f t="shared" si="72"/>
        <v/>
      </c>
      <c r="G470" s="118"/>
      <c r="H470" s="80" t="str">
        <f t="shared" si="73"/>
        <v/>
      </c>
      <c r="I470" s="80" t="str">
        <f t="shared" si="74"/>
        <v/>
      </c>
      <c r="J470" s="117"/>
      <c r="K470" s="117"/>
      <c r="L470" s="117"/>
      <c r="M470" s="84"/>
      <c r="O470" s="75" t="str">
        <f t="shared" si="75"/>
        <v/>
      </c>
      <c r="P470" s="75" t="str">
        <f t="shared" si="76"/>
        <v/>
      </c>
      <c r="Q470" s="75" t="str">
        <f t="shared" si="77"/>
        <v/>
      </c>
      <c r="R470" s="75" t="str">
        <f t="shared" si="78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71"/>
        <v/>
      </c>
      <c r="E471" s="85"/>
      <c r="F471" s="80" t="str">
        <f t="shared" si="72"/>
        <v/>
      </c>
      <c r="G471" s="118"/>
      <c r="H471" s="80" t="str">
        <f t="shared" si="73"/>
        <v/>
      </c>
      <c r="I471" s="80" t="str">
        <f t="shared" si="74"/>
        <v/>
      </c>
      <c r="J471" s="117"/>
      <c r="K471" s="117"/>
      <c r="L471" s="117"/>
      <c r="M471" s="84"/>
      <c r="O471" s="75" t="str">
        <f t="shared" si="75"/>
        <v/>
      </c>
      <c r="P471" s="75" t="str">
        <f t="shared" si="76"/>
        <v/>
      </c>
      <c r="Q471" s="75" t="str">
        <f t="shared" si="77"/>
        <v/>
      </c>
      <c r="R471" s="75" t="str">
        <f t="shared" si="78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71"/>
        <v/>
      </c>
      <c r="E472" s="85"/>
      <c r="F472" s="80" t="str">
        <f t="shared" si="72"/>
        <v/>
      </c>
      <c r="G472" s="118"/>
      <c r="H472" s="80" t="str">
        <f t="shared" si="73"/>
        <v/>
      </c>
      <c r="I472" s="80" t="str">
        <f t="shared" si="74"/>
        <v/>
      </c>
      <c r="J472" s="117"/>
      <c r="K472" s="117"/>
      <c r="L472" s="117"/>
      <c r="M472" s="84"/>
      <c r="O472" s="75" t="str">
        <f t="shared" si="75"/>
        <v/>
      </c>
      <c r="P472" s="75" t="str">
        <f t="shared" si="76"/>
        <v/>
      </c>
      <c r="Q472" s="75" t="str">
        <f t="shared" si="77"/>
        <v/>
      </c>
      <c r="R472" s="75" t="str">
        <f t="shared" si="78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71"/>
        <v/>
      </c>
      <c r="E473" s="85"/>
      <c r="F473" s="80" t="str">
        <f t="shared" si="72"/>
        <v/>
      </c>
      <c r="G473" s="118"/>
      <c r="H473" s="80" t="str">
        <f t="shared" si="73"/>
        <v/>
      </c>
      <c r="I473" s="80" t="str">
        <f t="shared" si="74"/>
        <v/>
      </c>
      <c r="J473" s="117"/>
      <c r="K473" s="117"/>
      <c r="L473" s="117"/>
      <c r="M473" s="84"/>
      <c r="O473" s="75" t="str">
        <f t="shared" si="75"/>
        <v/>
      </c>
      <c r="P473" s="75" t="str">
        <f t="shared" si="76"/>
        <v/>
      </c>
      <c r="Q473" s="75" t="str">
        <f t="shared" si="77"/>
        <v/>
      </c>
      <c r="R473" s="75" t="str">
        <f t="shared" si="78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71"/>
        <v/>
      </c>
      <c r="E474" s="85"/>
      <c r="F474" s="80" t="str">
        <f t="shared" si="72"/>
        <v/>
      </c>
      <c r="G474" s="118"/>
      <c r="H474" s="80" t="str">
        <f t="shared" si="73"/>
        <v/>
      </c>
      <c r="I474" s="80" t="str">
        <f t="shared" si="74"/>
        <v/>
      </c>
      <c r="J474" s="117"/>
      <c r="K474" s="117"/>
      <c r="L474" s="117"/>
      <c r="M474" s="84"/>
      <c r="O474" s="75" t="str">
        <f t="shared" si="75"/>
        <v/>
      </c>
      <c r="P474" s="75" t="str">
        <f t="shared" si="76"/>
        <v/>
      </c>
      <c r="Q474" s="75" t="str">
        <f t="shared" si="77"/>
        <v/>
      </c>
      <c r="R474" s="75" t="str">
        <f t="shared" si="78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71"/>
        <v/>
      </c>
      <c r="E475" s="85"/>
      <c r="F475" s="80" t="str">
        <f t="shared" si="72"/>
        <v/>
      </c>
      <c r="G475" s="118"/>
      <c r="H475" s="80" t="str">
        <f t="shared" si="73"/>
        <v/>
      </c>
      <c r="I475" s="80" t="str">
        <f t="shared" si="74"/>
        <v/>
      </c>
      <c r="J475" s="117"/>
      <c r="K475" s="117"/>
      <c r="L475" s="117"/>
      <c r="M475" s="84"/>
      <c r="O475" s="75" t="str">
        <f t="shared" si="75"/>
        <v/>
      </c>
      <c r="P475" s="75" t="str">
        <f t="shared" si="76"/>
        <v/>
      </c>
      <c r="Q475" s="75" t="str">
        <f t="shared" si="77"/>
        <v/>
      </c>
      <c r="R475" s="75" t="str">
        <f t="shared" si="78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71"/>
        <v/>
      </c>
      <c r="E476" s="85"/>
      <c r="F476" s="80" t="str">
        <f t="shared" si="72"/>
        <v/>
      </c>
      <c r="G476" s="118"/>
      <c r="H476" s="80" t="str">
        <f t="shared" si="73"/>
        <v/>
      </c>
      <c r="I476" s="80" t="str">
        <f t="shared" si="74"/>
        <v/>
      </c>
      <c r="J476" s="117"/>
      <c r="K476" s="117"/>
      <c r="L476" s="117"/>
      <c r="M476" s="84"/>
      <c r="O476" s="75" t="str">
        <f t="shared" si="75"/>
        <v/>
      </c>
      <c r="P476" s="75" t="str">
        <f t="shared" si="76"/>
        <v/>
      </c>
      <c r="Q476" s="75" t="str">
        <f t="shared" si="77"/>
        <v/>
      </c>
      <c r="R476" s="75" t="str">
        <f t="shared" si="78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71"/>
        <v/>
      </c>
      <c r="E477" s="85"/>
      <c r="F477" s="80" t="str">
        <f t="shared" si="72"/>
        <v/>
      </c>
      <c r="G477" s="118"/>
      <c r="H477" s="80" t="str">
        <f t="shared" si="73"/>
        <v/>
      </c>
      <c r="I477" s="80" t="str">
        <f t="shared" si="74"/>
        <v/>
      </c>
      <c r="J477" s="117"/>
      <c r="K477" s="117"/>
      <c r="L477" s="117"/>
      <c r="M477" s="84"/>
      <c r="O477" s="75" t="str">
        <f t="shared" si="75"/>
        <v/>
      </c>
      <c r="P477" s="75" t="str">
        <f t="shared" si="76"/>
        <v/>
      </c>
      <c r="Q477" s="75" t="str">
        <f t="shared" si="77"/>
        <v/>
      </c>
      <c r="R477" s="75" t="str">
        <f t="shared" si="78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71"/>
        <v/>
      </c>
      <c r="E478" s="85"/>
      <c r="F478" s="80" t="str">
        <f t="shared" si="72"/>
        <v/>
      </c>
      <c r="G478" s="118"/>
      <c r="H478" s="80" t="str">
        <f t="shared" si="73"/>
        <v/>
      </c>
      <c r="I478" s="80" t="str">
        <f t="shared" si="74"/>
        <v/>
      </c>
      <c r="J478" s="117"/>
      <c r="K478" s="117"/>
      <c r="L478" s="117"/>
      <c r="M478" s="84"/>
      <c r="O478" s="75" t="str">
        <f t="shared" si="75"/>
        <v/>
      </c>
      <c r="P478" s="75" t="str">
        <f t="shared" si="76"/>
        <v/>
      </c>
      <c r="Q478" s="75" t="str">
        <f t="shared" si="77"/>
        <v/>
      </c>
      <c r="R478" s="75" t="str">
        <f t="shared" si="78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71"/>
        <v/>
      </c>
      <c r="E479" s="85"/>
      <c r="F479" s="80" t="str">
        <f t="shared" si="72"/>
        <v/>
      </c>
      <c r="G479" s="118"/>
      <c r="H479" s="80" t="str">
        <f t="shared" si="73"/>
        <v/>
      </c>
      <c r="I479" s="80" t="str">
        <f t="shared" si="74"/>
        <v/>
      </c>
      <c r="J479" s="117"/>
      <c r="K479" s="117"/>
      <c r="L479" s="117"/>
      <c r="M479" s="84"/>
      <c r="O479" s="75" t="str">
        <f t="shared" si="75"/>
        <v/>
      </c>
      <c r="P479" s="75" t="str">
        <f t="shared" si="76"/>
        <v/>
      </c>
      <c r="Q479" s="75" t="str">
        <f t="shared" si="77"/>
        <v/>
      </c>
      <c r="R479" s="75" t="str">
        <f t="shared" si="78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71"/>
        <v/>
      </c>
      <c r="E480" s="85"/>
      <c r="F480" s="80" t="str">
        <f t="shared" si="72"/>
        <v/>
      </c>
      <c r="G480" s="118"/>
      <c r="H480" s="80" t="str">
        <f t="shared" si="73"/>
        <v/>
      </c>
      <c r="I480" s="80" t="str">
        <f t="shared" si="74"/>
        <v/>
      </c>
      <c r="J480" s="117"/>
      <c r="K480" s="117"/>
      <c r="L480" s="117"/>
      <c r="M480" s="84"/>
      <c r="O480" s="75" t="str">
        <f t="shared" si="75"/>
        <v/>
      </c>
      <c r="P480" s="75" t="str">
        <f t="shared" si="76"/>
        <v/>
      </c>
      <c r="Q480" s="75" t="str">
        <f t="shared" si="77"/>
        <v/>
      </c>
      <c r="R480" s="75" t="str">
        <f t="shared" si="78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71"/>
        <v/>
      </c>
      <c r="E481" s="85"/>
      <c r="F481" s="80" t="str">
        <f t="shared" si="72"/>
        <v/>
      </c>
      <c r="G481" s="118"/>
      <c r="H481" s="80" t="str">
        <f t="shared" si="73"/>
        <v/>
      </c>
      <c r="I481" s="80" t="str">
        <f t="shared" si="74"/>
        <v/>
      </c>
      <c r="J481" s="117"/>
      <c r="K481" s="117"/>
      <c r="L481" s="117"/>
      <c r="M481" s="84"/>
      <c r="O481" s="75" t="str">
        <f t="shared" si="75"/>
        <v/>
      </c>
      <c r="P481" s="75" t="str">
        <f t="shared" si="76"/>
        <v/>
      </c>
      <c r="Q481" s="75" t="str">
        <f t="shared" si="77"/>
        <v/>
      </c>
      <c r="R481" s="75" t="str">
        <f t="shared" si="78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71"/>
        <v/>
      </c>
      <c r="E482" s="85"/>
      <c r="F482" s="80" t="str">
        <f t="shared" si="72"/>
        <v/>
      </c>
      <c r="G482" s="118"/>
      <c r="H482" s="80" t="str">
        <f t="shared" si="73"/>
        <v/>
      </c>
      <c r="I482" s="80" t="str">
        <f t="shared" si="74"/>
        <v/>
      </c>
      <c r="J482" s="117"/>
      <c r="K482" s="117"/>
      <c r="L482" s="117"/>
      <c r="M482" s="84"/>
      <c r="O482" s="75" t="str">
        <f t="shared" si="75"/>
        <v/>
      </c>
      <c r="P482" s="75" t="str">
        <f t="shared" si="76"/>
        <v/>
      </c>
      <c r="Q482" s="75" t="str">
        <f t="shared" si="77"/>
        <v/>
      </c>
      <c r="R482" s="75" t="str">
        <f t="shared" si="78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71"/>
        <v/>
      </c>
      <c r="E483" s="85"/>
      <c r="F483" s="80" t="str">
        <f t="shared" si="72"/>
        <v/>
      </c>
      <c r="G483" s="118"/>
      <c r="H483" s="80" t="str">
        <f t="shared" si="73"/>
        <v/>
      </c>
      <c r="I483" s="80" t="str">
        <f t="shared" si="74"/>
        <v/>
      </c>
      <c r="J483" s="117"/>
      <c r="K483" s="117"/>
      <c r="L483" s="117"/>
      <c r="M483" s="84"/>
      <c r="O483" s="75" t="str">
        <f t="shared" si="75"/>
        <v/>
      </c>
      <c r="P483" s="75" t="str">
        <f t="shared" si="76"/>
        <v/>
      </c>
      <c r="Q483" s="75" t="str">
        <f t="shared" si="77"/>
        <v/>
      </c>
      <c r="R483" s="75" t="str">
        <f t="shared" si="78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71"/>
        <v/>
      </c>
      <c r="E484" s="85"/>
      <c r="F484" s="80" t="str">
        <f t="shared" si="72"/>
        <v/>
      </c>
      <c r="G484" s="118"/>
      <c r="H484" s="80" t="str">
        <f t="shared" si="73"/>
        <v/>
      </c>
      <c r="I484" s="80" t="str">
        <f t="shared" si="74"/>
        <v/>
      </c>
      <c r="J484" s="117"/>
      <c r="K484" s="117"/>
      <c r="L484" s="117"/>
      <c r="M484" s="84"/>
      <c r="O484" s="75" t="str">
        <f t="shared" si="75"/>
        <v/>
      </c>
      <c r="P484" s="75" t="str">
        <f t="shared" si="76"/>
        <v/>
      </c>
      <c r="Q484" s="75" t="str">
        <f t="shared" si="77"/>
        <v/>
      </c>
      <c r="R484" s="75" t="str">
        <f t="shared" si="78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71"/>
        <v/>
      </c>
      <c r="E485" s="85"/>
      <c r="F485" s="80" t="str">
        <f t="shared" si="72"/>
        <v/>
      </c>
      <c r="G485" s="118"/>
      <c r="H485" s="80" t="str">
        <f t="shared" si="73"/>
        <v/>
      </c>
      <c r="I485" s="80" t="str">
        <f t="shared" si="74"/>
        <v/>
      </c>
      <c r="J485" s="117"/>
      <c r="K485" s="117"/>
      <c r="L485" s="117"/>
      <c r="M485" s="84"/>
      <c r="O485" s="75" t="str">
        <f t="shared" si="75"/>
        <v/>
      </c>
      <c r="P485" s="75" t="str">
        <f t="shared" si="76"/>
        <v/>
      </c>
      <c r="Q485" s="75" t="str">
        <f t="shared" si="77"/>
        <v/>
      </c>
      <c r="R485" s="75" t="str">
        <f t="shared" si="78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71"/>
        <v/>
      </c>
      <c r="E486" s="85"/>
      <c r="F486" s="80" t="str">
        <f t="shared" si="72"/>
        <v/>
      </c>
      <c r="G486" s="118"/>
      <c r="H486" s="80" t="str">
        <f t="shared" si="73"/>
        <v/>
      </c>
      <c r="I486" s="80" t="str">
        <f t="shared" si="74"/>
        <v/>
      </c>
      <c r="J486" s="117"/>
      <c r="K486" s="117"/>
      <c r="L486" s="117"/>
      <c r="M486" s="84"/>
      <c r="O486" s="75" t="str">
        <f t="shared" si="75"/>
        <v/>
      </c>
      <c r="P486" s="75" t="str">
        <f t="shared" si="76"/>
        <v/>
      </c>
      <c r="Q486" s="75" t="str">
        <f t="shared" si="77"/>
        <v/>
      </c>
      <c r="R486" s="75" t="str">
        <f t="shared" si="78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71"/>
        <v/>
      </c>
      <c r="E487" s="85"/>
      <c r="F487" s="80" t="str">
        <f t="shared" si="72"/>
        <v/>
      </c>
      <c r="G487" s="118"/>
      <c r="H487" s="80" t="str">
        <f t="shared" si="73"/>
        <v/>
      </c>
      <c r="I487" s="80" t="str">
        <f t="shared" si="74"/>
        <v/>
      </c>
      <c r="J487" s="117"/>
      <c r="K487" s="117"/>
      <c r="L487" s="117"/>
      <c r="M487" s="84"/>
      <c r="O487" s="75" t="str">
        <f t="shared" si="75"/>
        <v/>
      </c>
      <c r="P487" s="75" t="str">
        <f t="shared" si="76"/>
        <v/>
      </c>
      <c r="Q487" s="75" t="str">
        <f t="shared" si="77"/>
        <v/>
      </c>
      <c r="R487" s="75" t="str">
        <f t="shared" si="78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71"/>
        <v/>
      </c>
      <c r="E488" s="85"/>
      <c r="F488" s="80" t="str">
        <f t="shared" si="72"/>
        <v/>
      </c>
      <c r="G488" s="118"/>
      <c r="H488" s="80" t="str">
        <f t="shared" si="73"/>
        <v/>
      </c>
      <c r="I488" s="80" t="str">
        <f t="shared" si="74"/>
        <v/>
      </c>
      <c r="J488" s="117"/>
      <c r="K488" s="117"/>
      <c r="L488" s="117"/>
      <c r="M488" s="84"/>
      <c r="O488" s="75" t="str">
        <f t="shared" si="75"/>
        <v/>
      </c>
      <c r="P488" s="75" t="str">
        <f t="shared" si="76"/>
        <v/>
      </c>
      <c r="Q488" s="75" t="str">
        <f t="shared" si="77"/>
        <v/>
      </c>
      <c r="R488" s="75" t="str">
        <f t="shared" si="78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71"/>
        <v/>
      </c>
      <c r="E489" s="85"/>
      <c r="F489" s="80" t="str">
        <f t="shared" si="72"/>
        <v/>
      </c>
      <c r="G489" s="118"/>
      <c r="H489" s="80" t="str">
        <f t="shared" si="73"/>
        <v/>
      </c>
      <c r="I489" s="80" t="str">
        <f t="shared" si="74"/>
        <v/>
      </c>
      <c r="J489" s="117"/>
      <c r="K489" s="117"/>
      <c r="L489" s="117"/>
      <c r="M489" s="84"/>
      <c r="O489" s="75" t="str">
        <f t="shared" si="75"/>
        <v/>
      </c>
      <c r="P489" s="75" t="str">
        <f t="shared" si="76"/>
        <v/>
      </c>
      <c r="Q489" s="75" t="str">
        <f t="shared" si="77"/>
        <v/>
      </c>
      <c r="R489" s="75" t="str">
        <f t="shared" si="78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71"/>
        <v/>
      </c>
      <c r="E490" s="85"/>
      <c r="F490" s="80" t="str">
        <f t="shared" si="72"/>
        <v/>
      </c>
      <c r="G490" s="118"/>
      <c r="H490" s="80" t="str">
        <f t="shared" si="73"/>
        <v/>
      </c>
      <c r="I490" s="80" t="str">
        <f t="shared" si="74"/>
        <v/>
      </c>
      <c r="J490" s="117"/>
      <c r="K490" s="117"/>
      <c r="L490" s="117"/>
      <c r="M490" s="84"/>
      <c r="O490" s="75" t="str">
        <f t="shared" si="75"/>
        <v/>
      </c>
      <c r="P490" s="75" t="str">
        <f t="shared" si="76"/>
        <v/>
      </c>
      <c r="Q490" s="75" t="str">
        <f t="shared" si="77"/>
        <v/>
      </c>
      <c r="R490" s="75" t="str">
        <f t="shared" si="78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71"/>
        <v/>
      </c>
      <c r="E491" s="85"/>
      <c r="F491" s="80" t="str">
        <f t="shared" si="72"/>
        <v/>
      </c>
      <c r="G491" s="118"/>
      <c r="H491" s="80" t="str">
        <f t="shared" si="73"/>
        <v/>
      </c>
      <c r="I491" s="80" t="str">
        <f t="shared" si="74"/>
        <v/>
      </c>
      <c r="J491" s="117"/>
      <c r="K491" s="117"/>
      <c r="L491" s="117"/>
      <c r="M491" s="84"/>
      <c r="O491" s="75" t="str">
        <f t="shared" si="75"/>
        <v/>
      </c>
      <c r="P491" s="75" t="str">
        <f t="shared" si="76"/>
        <v/>
      </c>
      <c r="Q491" s="75" t="str">
        <f t="shared" si="77"/>
        <v/>
      </c>
      <c r="R491" s="75" t="str">
        <f t="shared" si="78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71"/>
        <v/>
      </c>
      <c r="E492" s="85"/>
      <c r="F492" s="80" t="str">
        <f t="shared" si="72"/>
        <v/>
      </c>
      <c r="G492" s="118"/>
      <c r="H492" s="80" t="str">
        <f t="shared" si="73"/>
        <v/>
      </c>
      <c r="I492" s="80" t="str">
        <f t="shared" si="74"/>
        <v/>
      </c>
      <c r="J492" s="117"/>
      <c r="K492" s="117"/>
      <c r="L492" s="117"/>
      <c r="M492" s="84"/>
      <c r="O492" s="75" t="str">
        <f t="shared" si="75"/>
        <v/>
      </c>
      <c r="P492" s="75" t="str">
        <f t="shared" si="76"/>
        <v/>
      </c>
      <c r="Q492" s="75" t="str">
        <f t="shared" si="77"/>
        <v/>
      </c>
      <c r="R492" s="75" t="str">
        <f t="shared" si="78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71"/>
        <v/>
      </c>
      <c r="E493" s="85"/>
      <c r="F493" s="80" t="str">
        <f t="shared" si="72"/>
        <v/>
      </c>
      <c r="G493" s="118"/>
      <c r="H493" s="80" t="str">
        <f t="shared" si="73"/>
        <v/>
      </c>
      <c r="I493" s="80" t="str">
        <f t="shared" si="74"/>
        <v/>
      </c>
      <c r="J493" s="117"/>
      <c r="K493" s="117"/>
      <c r="L493" s="117"/>
      <c r="M493" s="84"/>
      <c r="O493" s="75" t="str">
        <f t="shared" si="75"/>
        <v/>
      </c>
      <c r="P493" s="75" t="str">
        <f t="shared" si="76"/>
        <v/>
      </c>
      <c r="Q493" s="75" t="str">
        <f t="shared" si="77"/>
        <v/>
      </c>
      <c r="R493" s="75" t="str">
        <f t="shared" si="78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71"/>
        <v/>
      </c>
      <c r="E494" s="85"/>
      <c r="F494" s="80" t="str">
        <f t="shared" si="72"/>
        <v/>
      </c>
      <c r="G494" s="118"/>
      <c r="H494" s="80" t="str">
        <f t="shared" si="73"/>
        <v/>
      </c>
      <c r="I494" s="80" t="str">
        <f t="shared" si="74"/>
        <v/>
      </c>
      <c r="J494" s="117"/>
      <c r="K494" s="117"/>
      <c r="L494" s="117"/>
      <c r="M494" s="84"/>
      <c r="O494" s="75" t="str">
        <f t="shared" si="75"/>
        <v/>
      </c>
      <c r="P494" s="75" t="str">
        <f t="shared" si="76"/>
        <v/>
      </c>
      <c r="Q494" s="75" t="str">
        <f t="shared" si="77"/>
        <v/>
      </c>
      <c r="R494" s="75" t="str">
        <f t="shared" si="78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71"/>
        <v/>
      </c>
      <c r="E495" s="85"/>
      <c r="F495" s="80" t="str">
        <f t="shared" si="72"/>
        <v/>
      </c>
      <c r="G495" s="118"/>
      <c r="H495" s="80" t="str">
        <f t="shared" si="73"/>
        <v/>
      </c>
      <c r="I495" s="80" t="str">
        <f t="shared" si="74"/>
        <v/>
      </c>
      <c r="J495" s="117"/>
      <c r="K495" s="117"/>
      <c r="L495" s="117"/>
      <c r="M495" s="84"/>
      <c r="O495" s="75" t="str">
        <f t="shared" si="75"/>
        <v/>
      </c>
      <c r="P495" s="75" t="str">
        <f t="shared" si="76"/>
        <v/>
      </c>
      <c r="Q495" s="75" t="str">
        <f t="shared" si="77"/>
        <v/>
      </c>
      <c r="R495" s="75" t="str">
        <f t="shared" si="78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71"/>
        <v/>
      </c>
      <c r="E496" s="85"/>
      <c r="F496" s="80" t="str">
        <f t="shared" si="72"/>
        <v/>
      </c>
      <c r="G496" s="118"/>
      <c r="H496" s="80" t="str">
        <f t="shared" si="73"/>
        <v/>
      </c>
      <c r="I496" s="80" t="str">
        <f t="shared" si="74"/>
        <v/>
      </c>
      <c r="J496" s="117"/>
      <c r="K496" s="117"/>
      <c r="L496" s="117"/>
      <c r="M496" s="84"/>
      <c r="O496" s="75" t="str">
        <f t="shared" si="75"/>
        <v/>
      </c>
      <c r="P496" s="75" t="str">
        <f t="shared" si="76"/>
        <v/>
      </c>
      <c r="Q496" s="75" t="str">
        <f t="shared" si="77"/>
        <v/>
      </c>
      <c r="R496" s="75" t="str">
        <f t="shared" si="78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71"/>
        <v/>
      </c>
      <c r="E497" s="85"/>
      <c r="F497" s="80" t="str">
        <f t="shared" si="72"/>
        <v/>
      </c>
      <c r="G497" s="118"/>
      <c r="H497" s="80" t="str">
        <f t="shared" si="73"/>
        <v/>
      </c>
      <c r="I497" s="80" t="str">
        <f t="shared" si="74"/>
        <v/>
      </c>
      <c r="J497" s="117"/>
      <c r="K497" s="117"/>
      <c r="L497" s="117"/>
      <c r="M497" s="84"/>
      <c r="O497" s="75" t="str">
        <f t="shared" si="75"/>
        <v/>
      </c>
      <c r="P497" s="75" t="str">
        <f t="shared" si="76"/>
        <v/>
      </c>
      <c r="Q497" s="75" t="str">
        <f t="shared" si="77"/>
        <v/>
      </c>
      <c r="R497" s="75" t="str">
        <f t="shared" si="78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71"/>
        <v/>
      </c>
      <c r="E498" s="85"/>
      <c r="F498" s="80" t="str">
        <f t="shared" si="72"/>
        <v/>
      </c>
      <c r="G498" s="118"/>
      <c r="H498" s="80" t="str">
        <f t="shared" si="73"/>
        <v/>
      </c>
      <c r="I498" s="80" t="str">
        <f t="shared" si="74"/>
        <v/>
      </c>
      <c r="J498" s="117"/>
      <c r="K498" s="117"/>
      <c r="L498" s="117"/>
      <c r="M498" s="84"/>
      <c r="O498" s="75" t="str">
        <f t="shared" si="75"/>
        <v/>
      </c>
      <c r="P498" s="75" t="str">
        <f t="shared" si="76"/>
        <v/>
      </c>
      <c r="Q498" s="75" t="str">
        <f t="shared" si="77"/>
        <v/>
      </c>
      <c r="R498" s="75" t="str">
        <f t="shared" si="78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71"/>
        <v/>
      </c>
      <c r="E499" s="85"/>
      <c r="F499" s="80" t="str">
        <f t="shared" si="72"/>
        <v/>
      </c>
      <c r="G499" s="118"/>
      <c r="H499" s="80" t="str">
        <f t="shared" si="73"/>
        <v/>
      </c>
      <c r="I499" s="80" t="str">
        <f t="shared" si="74"/>
        <v/>
      </c>
      <c r="J499" s="117"/>
      <c r="K499" s="117"/>
      <c r="L499" s="117"/>
      <c r="M499" s="84"/>
      <c r="O499" s="75" t="str">
        <f t="shared" si="75"/>
        <v/>
      </c>
      <c r="P499" s="75" t="str">
        <f t="shared" si="76"/>
        <v/>
      </c>
      <c r="Q499" s="75" t="str">
        <f t="shared" si="77"/>
        <v/>
      </c>
      <c r="R499" s="75" t="str">
        <f t="shared" si="78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71"/>
        <v/>
      </c>
      <c r="E500" s="85"/>
      <c r="F500" s="80" t="str">
        <f t="shared" si="72"/>
        <v/>
      </c>
      <c r="G500" s="118"/>
      <c r="H500" s="80" t="str">
        <f t="shared" si="73"/>
        <v/>
      </c>
      <c r="I500" s="80" t="str">
        <f t="shared" si="74"/>
        <v/>
      </c>
      <c r="J500" s="117"/>
      <c r="K500" s="117"/>
      <c r="L500" s="117"/>
      <c r="M500" s="84"/>
      <c r="O500" s="75" t="str">
        <f t="shared" si="75"/>
        <v/>
      </c>
      <c r="P500" s="75" t="str">
        <f t="shared" si="76"/>
        <v/>
      </c>
      <c r="Q500" s="75" t="str">
        <f t="shared" si="77"/>
        <v/>
      </c>
      <c r="R500" s="75" t="str">
        <f t="shared" si="78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71"/>
        <v/>
      </c>
      <c r="E501" s="85"/>
      <c r="F501" s="80" t="str">
        <f t="shared" si="72"/>
        <v/>
      </c>
      <c r="G501" s="118"/>
      <c r="H501" s="80" t="str">
        <f t="shared" si="73"/>
        <v/>
      </c>
      <c r="I501" s="80" t="str">
        <f t="shared" si="74"/>
        <v/>
      </c>
      <c r="J501" s="117"/>
      <c r="K501" s="117"/>
      <c r="L501" s="117"/>
      <c r="M501" s="84"/>
      <c r="O501" s="75" t="str">
        <f t="shared" si="75"/>
        <v/>
      </c>
      <c r="P501" s="75" t="str">
        <f t="shared" si="76"/>
        <v/>
      </c>
      <c r="Q501" s="75" t="str">
        <f t="shared" si="77"/>
        <v/>
      </c>
      <c r="R501" s="75" t="str">
        <f t="shared" si="78"/>
        <v/>
      </c>
    </row>
    <row r="502" spans="1:18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71"/>
        <v/>
      </c>
      <c r="E502" s="85"/>
      <c r="F502" s="80" t="str">
        <f t="shared" si="72"/>
        <v/>
      </c>
      <c r="G502" s="118"/>
      <c r="H502" s="80" t="str">
        <f t="shared" si="73"/>
        <v/>
      </c>
      <c r="I502" s="80" t="str">
        <f t="shared" si="74"/>
        <v/>
      </c>
      <c r="J502" s="117"/>
      <c r="K502" s="117"/>
      <c r="L502" s="117"/>
      <c r="M502" s="84"/>
      <c r="O502" s="75" t="str">
        <f t="shared" si="75"/>
        <v/>
      </c>
      <c r="P502" s="75" t="str">
        <f t="shared" si="76"/>
        <v/>
      </c>
      <c r="Q502" s="75" t="str">
        <f t="shared" si="77"/>
        <v/>
      </c>
      <c r="R502" s="75" t="str">
        <f t="shared" si="78"/>
        <v/>
      </c>
    </row>
    <row r="503" spans="1:18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71"/>
        <v/>
      </c>
      <c r="E503" s="85"/>
      <c r="F503" s="80" t="str">
        <f t="shared" si="72"/>
        <v/>
      </c>
      <c r="G503" s="118"/>
      <c r="H503" s="80" t="str">
        <f t="shared" si="73"/>
        <v/>
      </c>
      <c r="I503" s="80" t="str">
        <f t="shared" si="74"/>
        <v/>
      </c>
      <c r="J503" s="117"/>
      <c r="K503" s="117"/>
      <c r="L503" s="117"/>
      <c r="M503" s="84"/>
      <c r="O503" s="75" t="str">
        <f t="shared" si="75"/>
        <v/>
      </c>
      <c r="P503" s="75" t="str">
        <f t="shared" si="76"/>
        <v/>
      </c>
      <c r="Q503" s="75" t="str">
        <f t="shared" si="77"/>
        <v/>
      </c>
      <c r="R503" s="75" t="str">
        <f t="shared" si="78"/>
        <v/>
      </c>
    </row>
    <row r="504" spans="1:18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71"/>
        <v/>
      </c>
      <c r="E504" s="85"/>
      <c r="F504" s="80" t="str">
        <f t="shared" si="72"/>
        <v/>
      </c>
      <c r="G504" s="118"/>
      <c r="H504" s="80" t="str">
        <f t="shared" si="73"/>
        <v/>
      </c>
      <c r="I504" s="80" t="str">
        <f t="shared" si="74"/>
        <v/>
      </c>
      <c r="J504" s="117"/>
      <c r="K504" s="117"/>
      <c r="L504" s="117"/>
      <c r="M504" s="84"/>
      <c r="O504" s="75" t="str">
        <f t="shared" si="75"/>
        <v/>
      </c>
      <c r="P504" s="75" t="str">
        <f t="shared" si="76"/>
        <v/>
      </c>
      <c r="Q504" s="75" t="str">
        <f t="shared" si="77"/>
        <v/>
      </c>
      <c r="R504" s="75" t="str">
        <f t="shared" si="78"/>
        <v/>
      </c>
    </row>
    <row r="505" spans="1:18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71"/>
        <v/>
      </c>
      <c r="E505" s="85"/>
      <c r="F505" s="80" t="str">
        <f t="shared" si="72"/>
        <v/>
      </c>
      <c r="G505" s="118"/>
      <c r="H505" s="80" t="str">
        <f t="shared" si="73"/>
        <v/>
      </c>
      <c r="I505" s="80" t="str">
        <f t="shared" si="74"/>
        <v/>
      </c>
      <c r="J505" s="117"/>
      <c r="K505" s="117"/>
      <c r="L505" s="117"/>
      <c r="M505" s="84"/>
      <c r="O505" s="75" t="str">
        <f t="shared" si="75"/>
        <v/>
      </c>
      <c r="P505" s="75" t="str">
        <f t="shared" si="76"/>
        <v/>
      </c>
      <c r="Q505" s="75" t="str">
        <f t="shared" si="77"/>
        <v/>
      </c>
      <c r="R505" s="75" t="str">
        <f t="shared" si="78"/>
        <v/>
      </c>
    </row>
    <row r="506" spans="1:18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71"/>
        <v/>
      </c>
      <c r="E506" s="85"/>
      <c r="F506" s="80" t="str">
        <f t="shared" si="72"/>
        <v/>
      </c>
      <c r="G506" s="118"/>
      <c r="H506" s="80" t="str">
        <f t="shared" si="73"/>
        <v/>
      </c>
      <c r="I506" s="80" t="str">
        <f t="shared" si="74"/>
        <v/>
      </c>
      <c r="J506" s="117"/>
      <c r="K506" s="117"/>
      <c r="L506" s="117"/>
      <c r="M506" s="84"/>
      <c r="O506" s="75" t="str">
        <f t="shared" si="75"/>
        <v/>
      </c>
      <c r="P506" s="75" t="str">
        <f t="shared" si="76"/>
        <v/>
      </c>
      <c r="Q506" s="75" t="str">
        <f t="shared" si="77"/>
        <v/>
      </c>
      <c r="R506" s="75" t="str">
        <f t="shared" si="78"/>
        <v/>
      </c>
    </row>
    <row r="507" spans="1:18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71"/>
        <v/>
      </c>
      <c r="E507" s="85"/>
      <c r="F507" s="80" t="str">
        <f t="shared" si="72"/>
        <v/>
      </c>
      <c r="G507" s="118"/>
      <c r="H507" s="80" t="str">
        <f t="shared" si="73"/>
        <v/>
      </c>
      <c r="I507" s="80" t="str">
        <f t="shared" si="74"/>
        <v/>
      </c>
      <c r="J507" s="117"/>
      <c r="K507" s="117"/>
      <c r="L507" s="117"/>
      <c r="M507" s="84"/>
      <c r="O507" s="75" t="str">
        <f t="shared" si="75"/>
        <v/>
      </c>
      <c r="P507" s="75" t="str">
        <f t="shared" si="76"/>
        <v/>
      </c>
      <c r="Q507" s="75" t="str">
        <f t="shared" si="77"/>
        <v/>
      </c>
      <c r="R507" s="75" t="str">
        <f t="shared" si="78"/>
        <v/>
      </c>
    </row>
    <row r="508" spans="1:18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71"/>
        <v/>
      </c>
      <c r="E508" s="85"/>
      <c r="F508" s="80" t="str">
        <f t="shared" si="72"/>
        <v/>
      </c>
      <c r="G508" s="118"/>
      <c r="H508" s="80" t="str">
        <f t="shared" si="73"/>
        <v/>
      </c>
      <c r="I508" s="80" t="str">
        <f t="shared" si="74"/>
        <v/>
      </c>
      <c r="J508" s="117"/>
      <c r="K508" s="117"/>
      <c r="L508" s="117"/>
      <c r="M508" s="84"/>
      <c r="O508" s="75" t="str">
        <f t="shared" si="75"/>
        <v/>
      </c>
      <c r="P508" s="75" t="str">
        <f t="shared" si="76"/>
        <v/>
      </c>
      <c r="Q508" s="75" t="str">
        <f t="shared" si="77"/>
        <v/>
      </c>
      <c r="R508" s="75" t="str">
        <f t="shared" si="78"/>
        <v/>
      </c>
    </row>
    <row r="509" spans="1:18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71"/>
        <v/>
      </c>
      <c r="E509" s="85"/>
      <c r="F509" s="80" t="str">
        <f t="shared" si="72"/>
        <v/>
      </c>
      <c r="G509" s="118"/>
      <c r="H509" s="80" t="str">
        <f t="shared" si="73"/>
        <v/>
      </c>
      <c r="I509" s="80" t="str">
        <f t="shared" si="74"/>
        <v/>
      </c>
      <c r="J509" s="117"/>
      <c r="K509" s="117"/>
      <c r="L509" s="117"/>
      <c r="M509" s="84"/>
      <c r="O509" s="75" t="str">
        <f t="shared" si="75"/>
        <v/>
      </c>
      <c r="P509" s="75" t="str">
        <f t="shared" si="76"/>
        <v/>
      </c>
      <c r="Q509" s="75" t="str">
        <f t="shared" si="77"/>
        <v/>
      </c>
      <c r="R509" s="75" t="str">
        <f t="shared" si="78"/>
        <v/>
      </c>
    </row>
    <row r="510" spans="1:18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71"/>
        <v/>
      </c>
      <c r="E510" s="85"/>
      <c r="F510" s="80" t="str">
        <f t="shared" si="72"/>
        <v/>
      </c>
      <c r="G510" s="118"/>
      <c r="H510" s="80" t="str">
        <f t="shared" si="73"/>
        <v/>
      </c>
      <c r="I510" s="80" t="str">
        <f t="shared" si="74"/>
        <v/>
      </c>
      <c r="J510" s="117"/>
      <c r="K510" s="117"/>
      <c r="L510" s="117"/>
      <c r="M510" s="84"/>
      <c r="O510" s="75" t="str">
        <f t="shared" si="75"/>
        <v/>
      </c>
      <c r="P510" s="75" t="str">
        <f t="shared" si="76"/>
        <v/>
      </c>
      <c r="Q510" s="75" t="str">
        <f t="shared" si="77"/>
        <v/>
      </c>
      <c r="R510" s="75" t="str">
        <f t="shared" si="78"/>
        <v/>
      </c>
    </row>
    <row r="511" spans="1:18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71"/>
        <v/>
      </c>
      <c r="E511" s="85"/>
      <c r="F511" s="80" t="str">
        <f t="shared" si="72"/>
        <v/>
      </c>
      <c r="G511" s="118"/>
      <c r="H511" s="80" t="str">
        <f t="shared" si="73"/>
        <v/>
      </c>
      <c r="I511" s="80" t="str">
        <f t="shared" si="74"/>
        <v/>
      </c>
      <c r="J511" s="117"/>
      <c r="K511" s="117"/>
      <c r="L511" s="117"/>
      <c r="M511" s="84"/>
      <c r="O511" s="75" t="str">
        <f t="shared" si="75"/>
        <v/>
      </c>
      <c r="P511" s="75" t="str">
        <f t="shared" si="76"/>
        <v/>
      </c>
      <c r="Q511" s="75" t="str">
        <f t="shared" si="77"/>
        <v/>
      </c>
      <c r="R511" s="75" t="str">
        <f t="shared" si="78"/>
        <v/>
      </c>
    </row>
    <row r="512" spans="1:18">
      <c r="A512" s="79" t="str">
        <f>IF(C512="","",VLOOKUP('OPĆI DIO'!$C$3,'OPĆI DIO'!$L$6:$U$138,10,FALSE))</f>
        <v/>
      </c>
      <c r="B512" s="79" t="str">
        <f>IF(C512="","",VLOOKUP('OPĆI DIO'!$C$3,'OPĆI DIO'!$L$6:$U$138,9,FALSE))</f>
        <v/>
      </c>
      <c r="C512" s="85"/>
      <c r="D512" s="80" t="str">
        <f t="shared" si="71"/>
        <v/>
      </c>
      <c r="E512" s="85"/>
      <c r="F512" s="80" t="str">
        <f t="shared" si="72"/>
        <v/>
      </c>
      <c r="G512" s="118"/>
      <c r="H512" s="80" t="str">
        <f t="shared" si="73"/>
        <v/>
      </c>
      <c r="I512" s="80" t="str">
        <f t="shared" si="74"/>
        <v/>
      </c>
      <c r="J512" s="117"/>
      <c r="K512" s="117"/>
      <c r="L512" s="117"/>
      <c r="M512" s="84"/>
      <c r="O512" s="75" t="str">
        <f t="shared" si="75"/>
        <v/>
      </c>
      <c r="P512" s="75" t="str">
        <f t="shared" si="76"/>
        <v/>
      </c>
      <c r="Q512" s="75" t="str">
        <f t="shared" si="77"/>
        <v/>
      </c>
      <c r="R512" s="75" t="str">
        <f t="shared" si="78"/>
        <v/>
      </c>
    </row>
    <row r="513" spans="1:18">
      <c r="A513" s="79" t="str">
        <f>IF(C513="","",VLOOKUP('OPĆI DIO'!$C$3,'OPĆI DIO'!$L$6:$U$138,10,FALSE))</f>
        <v/>
      </c>
      <c r="B513" s="79" t="str">
        <f>IF(C513="","",VLOOKUP('OPĆI DIO'!$C$3,'OPĆI DIO'!$L$6:$U$138,9,FALSE))</f>
        <v/>
      </c>
      <c r="C513" s="85"/>
      <c r="D513" s="80" t="str">
        <f t="shared" si="71"/>
        <v/>
      </c>
      <c r="E513" s="85"/>
      <c r="F513" s="80" t="str">
        <f t="shared" si="72"/>
        <v/>
      </c>
      <c r="G513" s="118"/>
      <c r="H513" s="80" t="str">
        <f t="shared" si="73"/>
        <v/>
      </c>
      <c r="I513" s="80" t="str">
        <f t="shared" si="74"/>
        <v/>
      </c>
      <c r="J513" s="117"/>
      <c r="K513" s="117"/>
      <c r="L513" s="117"/>
      <c r="M513" s="84"/>
      <c r="O513" s="75" t="str">
        <f t="shared" si="75"/>
        <v/>
      </c>
      <c r="P513" s="75" t="str">
        <f t="shared" si="76"/>
        <v/>
      </c>
      <c r="Q513" s="75" t="str">
        <f t="shared" si="77"/>
        <v/>
      </c>
      <c r="R513" s="75" t="str">
        <f t="shared" si="78"/>
        <v/>
      </c>
    </row>
    <row r="514" spans="1:18">
      <c r="A514" s="79" t="str">
        <f>IF(C514="","",VLOOKUP('OPĆI DIO'!$C$3,'OPĆI DIO'!$L$6:$U$138,10,FALSE))</f>
        <v/>
      </c>
      <c r="B514" s="79" t="str">
        <f>IF(C514="","",VLOOKUP('OPĆI DIO'!$C$3,'OPĆI DIO'!$L$6:$U$138,9,FALSE))</f>
        <v/>
      </c>
      <c r="C514" s="85"/>
      <c r="D514" s="80" t="str">
        <f t="shared" si="71"/>
        <v/>
      </c>
      <c r="E514" s="85"/>
      <c r="F514" s="80" t="str">
        <f t="shared" si="72"/>
        <v/>
      </c>
      <c r="G514" s="118"/>
      <c r="H514" s="80" t="str">
        <f t="shared" si="73"/>
        <v/>
      </c>
      <c r="I514" s="80" t="str">
        <f t="shared" si="74"/>
        <v/>
      </c>
      <c r="J514" s="117"/>
      <c r="K514" s="117"/>
      <c r="L514" s="117"/>
      <c r="M514" s="84"/>
      <c r="O514" s="75" t="str">
        <f t="shared" si="75"/>
        <v/>
      </c>
      <c r="P514" s="75" t="str">
        <f t="shared" si="76"/>
        <v/>
      </c>
      <c r="Q514" s="75" t="str">
        <f t="shared" si="77"/>
        <v/>
      </c>
      <c r="R514" s="75" t="str">
        <f t="shared" si="78"/>
        <v/>
      </c>
    </row>
    <row r="515" spans="1:18">
      <c r="A515" s="79" t="str">
        <f>IF(C515="","",VLOOKUP('OPĆI DIO'!$C$3,'OPĆI DIO'!$L$6:$U$138,10,FALSE))</f>
        <v/>
      </c>
      <c r="B515" s="79" t="str">
        <f>IF(C515="","",VLOOKUP('OPĆI DIO'!$C$3,'OPĆI DIO'!$L$6:$U$138,9,FALSE))</f>
        <v/>
      </c>
      <c r="C515" s="85"/>
      <c r="D515" s="80" t="str">
        <f t="shared" ref="D515:D524" si="79">IFERROR(VLOOKUP(C515,$S$6:$T$25,2,FALSE),"")</f>
        <v/>
      </c>
      <c r="E515" s="85"/>
      <c r="F515" s="80" t="str">
        <f t="shared" ref="F515:F524" si="80">IFERROR(VLOOKUP(E515,$V$5:$X$152,2,FALSE),"")</f>
        <v/>
      </c>
      <c r="G515" s="118"/>
      <c r="H515" s="80" t="str">
        <f t="shared" ref="H515:H524" si="81">IFERROR(VLOOKUP(G515,$AB$6:$AC$350,2,FALSE),"")</f>
        <v/>
      </c>
      <c r="I515" s="80" t="str">
        <f t="shared" ref="I515:I524" si="82">IFERROR(VLOOKUP(G515,$AB$6:$AF$350,3,FALSE),"")</f>
        <v/>
      </c>
      <c r="J515" s="117"/>
      <c r="K515" s="117"/>
      <c r="L515" s="117"/>
      <c r="M515" s="84"/>
      <c r="O515" s="75" t="str">
        <f t="shared" ref="O515:O524" si="83">LEFT(E515,3)</f>
        <v/>
      </c>
      <c r="P515" s="75" t="str">
        <f t="shared" ref="P515:P524" si="84">LEFT(E515,2)</f>
        <v/>
      </c>
      <c r="Q515" s="75" t="str">
        <f t="shared" ref="Q515:Q524" si="85">LEFT(C515,3)</f>
        <v/>
      </c>
      <c r="R515" s="75" t="str">
        <f t="shared" si="78"/>
        <v/>
      </c>
    </row>
    <row r="516" spans="1:18">
      <c r="A516" s="79" t="str">
        <f>IF(C516="","",VLOOKUP('OPĆI DIO'!$C$3,'OPĆI DIO'!$L$6:$U$138,10,FALSE))</f>
        <v/>
      </c>
      <c r="B516" s="79" t="str">
        <f>IF(C516="","",VLOOKUP('OPĆI DIO'!$C$3,'OPĆI DIO'!$L$6:$U$138,9,FALSE))</f>
        <v/>
      </c>
      <c r="C516" s="85"/>
      <c r="D516" s="80" t="str">
        <f t="shared" si="79"/>
        <v/>
      </c>
      <c r="E516" s="85"/>
      <c r="F516" s="80" t="str">
        <f t="shared" si="80"/>
        <v/>
      </c>
      <c r="G516" s="118"/>
      <c r="H516" s="80" t="str">
        <f t="shared" si="81"/>
        <v/>
      </c>
      <c r="I516" s="80" t="str">
        <f t="shared" si="82"/>
        <v/>
      </c>
      <c r="J516" s="117"/>
      <c r="K516" s="117"/>
      <c r="L516" s="117"/>
      <c r="M516" s="84"/>
      <c r="O516" s="75" t="str">
        <f t="shared" si="83"/>
        <v/>
      </c>
      <c r="P516" s="75" t="str">
        <f t="shared" si="84"/>
        <v/>
      </c>
      <c r="Q516" s="75" t="str">
        <f t="shared" si="85"/>
        <v/>
      </c>
      <c r="R516" s="75" t="str">
        <f t="shared" si="78"/>
        <v/>
      </c>
    </row>
    <row r="517" spans="1:18">
      <c r="A517" s="79" t="str">
        <f>IF(C517="","",VLOOKUP('OPĆI DIO'!$C$3,'OPĆI DIO'!$L$6:$U$138,10,FALSE))</f>
        <v/>
      </c>
      <c r="B517" s="79" t="str">
        <f>IF(C517="","",VLOOKUP('OPĆI DIO'!$C$3,'OPĆI DIO'!$L$6:$U$138,9,FALSE))</f>
        <v/>
      </c>
      <c r="C517" s="85"/>
      <c r="D517" s="80" t="str">
        <f t="shared" si="79"/>
        <v/>
      </c>
      <c r="E517" s="85"/>
      <c r="F517" s="80" t="str">
        <f t="shared" si="80"/>
        <v/>
      </c>
      <c r="G517" s="118"/>
      <c r="H517" s="80" t="str">
        <f t="shared" si="81"/>
        <v/>
      </c>
      <c r="I517" s="80" t="str">
        <f t="shared" si="82"/>
        <v/>
      </c>
      <c r="J517" s="117"/>
      <c r="K517" s="117"/>
      <c r="L517" s="117"/>
      <c r="M517" s="84"/>
      <c r="O517" s="75" t="str">
        <f t="shared" si="83"/>
        <v/>
      </c>
      <c r="P517" s="75" t="str">
        <f t="shared" si="84"/>
        <v/>
      </c>
      <c r="Q517" s="75" t="str">
        <f t="shared" si="85"/>
        <v/>
      </c>
      <c r="R517" s="75" t="str">
        <f t="shared" si="78"/>
        <v/>
      </c>
    </row>
    <row r="518" spans="1:18">
      <c r="A518" s="79" t="str">
        <f>IF(C518="","",VLOOKUP('OPĆI DIO'!$C$3,'OPĆI DIO'!$L$6:$U$138,10,FALSE))</f>
        <v/>
      </c>
      <c r="B518" s="79" t="str">
        <f>IF(C518="","",VLOOKUP('OPĆI DIO'!$C$3,'OPĆI DIO'!$L$6:$U$138,9,FALSE))</f>
        <v/>
      </c>
      <c r="C518" s="85"/>
      <c r="D518" s="80" t="str">
        <f t="shared" si="79"/>
        <v/>
      </c>
      <c r="E518" s="85"/>
      <c r="F518" s="80" t="str">
        <f t="shared" si="80"/>
        <v/>
      </c>
      <c r="G518" s="118"/>
      <c r="H518" s="80" t="str">
        <f t="shared" si="81"/>
        <v/>
      </c>
      <c r="I518" s="80" t="str">
        <f t="shared" si="82"/>
        <v/>
      </c>
      <c r="J518" s="117"/>
      <c r="K518" s="117"/>
      <c r="L518" s="117"/>
      <c r="M518" s="84"/>
      <c r="O518" s="75" t="str">
        <f t="shared" si="83"/>
        <v/>
      </c>
      <c r="P518" s="75" t="str">
        <f t="shared" si="84"/>
        <v/>
      </c>
      <c r="Q518" s="75" t="str">
        <f t="shared" si="85"/>
        <v/>
      </c>
      <c r="R518" s="75" t="str">
        <f t="shared" si="78"/>
        <v/>
      </c>
    </row>
    <row r="519" spans="1:18">
      <c r="A519" s="79" t="str">
        <f>IF(C519="","",VLOOKUP('OPĆI DIO'!$C$3,'OPĆI DIO'!$L$6:$U$138,10,FALSE))</f>
        <v/>
      </c>
      <c r="B519" s="79" t="str">
        <f>IF(C519="","",VLOOKUP('OPĆI DIO'!$C$3,'OPĆI DIO'!$L$6:$U$138,9,FALSE))</f>
        <v/>
      </c>
      <c r="C519" s="85"/>
      <c r="D519" s="80" t="str">
        <f t="shared" si="79"/>
        <v/>
      </c>
      <c r="E519" s="85"/>
      <c r="F519" s="80" t="str">
        <f t="shared" si="80"/>
        <v/>
      </c>
      <c r="G519" s="118"/>
      <c r="H519" s="80" t="str">
        <f t="shared" si="81"/>
        <v/>
      </c>
      <c r="I519" s="80" t="str">
        <f t="shared" si="82"/>
        <v/>
      </c>
      <c r="J519" s="117"/>
      <c r="K519" s="117"/>
      <c r="L519" s="117"/>
      <c r="M519" s="84"/>
      <c r="O519" s="75" t="str">
        <f t="shared" si="83"/>
        <v/>
      </c>
      <c r="P519" s="75" t="str">
        <f t="shared" si="84"/>
        <v/>
      </c>
      <c r="Q519" s="75" t="str">
        <f t="shared" si="85"/>
        <v/>
      </c>
      <c r="R519" s="75" t="str">
        <f t="shared" si="78"/>
        <v/>
      </c>
    </row>
    <row r="520" spans="1:18">
      <c r="A520" s="79" t="str">
        <f>IF(C520="","",VLOOKUP('OPĆI DIO'!$C$3,'OPĆI DIO'!$L$6:$U$138,10,FALSE))</f>
        <v/>
      </c>
      <c r="B520" s="79" t="str">
        <f>IF(C520="","",VLOOKUP('OPĆI DIO'!$C$3,'OPĆI DIO'!$L$6:$U$138,9,FALSE))</f>
        <v/>
      </c>
      <c r="C520" s="85"/>
      <c r="D520" s="80" t="str">
        <f t="shared" si="79"/>
        <v/>
      </c>
      <c r="E520" s="85"/>
      <c r="F520" s="80" t="str">
        <f t="shared" si="80"/>
        <v/>
      </c>
      <c r="G520" s="118"/>
      <c r="H520" s="80" t="str">
        <f t="shared" si="81"/>
        <v/>
      </c>
      <c r="I520" s="80" t="str">
        <f t="shared" si="82"/>
        <v/>
      </c>
      <c r="J520" s="117"/>
      <c r="K520" s="117"/>
      <c r="L520" s="117"/>
      <c r="M520" s="84"/>
      <c r="O520" s="75" t="str">
        <f t="shared" si="83"/>
        <v/>
      </c>
      <c r="P520" s="75" t="str">
        <f t="shared" si="84"/>
        <v/>
      </c>
      <c r="Q520" s="75" t="str">
        <f t="shared" si="85"/>
        <v/>
      </c>
      <c r="R520" s="75" t="str">
        <f t="shared" si="78"/>
        <v/>
      </c>
    </row>
    <row r="521" spans="1:18">
      <c r="A521" s="79" t="str">
        <f>IF(C521="","",VLOOKUP('OPĆI DIO'!$C$3,'OPĆI DIO'!$L$6:$U$138,10,FALSE))</f>
        <v/>
      </c>
      <c r="B521" s="79" t="str">
        <f>IF(C521="","",VLOOKUP('OPĆI DIO'!$C$3,'OPĆI DIO'!$L$6:$U$138,9,FALSE))</f>
        <v/>
      </c>
      <c r="C521" s="85"/>
      <c r="D521" s="80" t="str">
        <f t="shared" si="79"/>
        <v/>
      </c>
      <c r="E521" s="85"/>
      <c r="F521" s="80" t="str">
        <f t="shared" si="80"/>
        <v/>
      </c>
      <c r="G521" s="118"/>
      <c r="H521" s="80" t="str">
        <f t="shared" si="81"/>
        <v/>
      </c>
      <c r="I521" s="80" t="str">
        <f t="shared" si="82"/>
        <v/>
      </c>
      <c r="J521" s="117"/>
      <c r="K521" s="117"/>
      <c r="L521" s="117"/>
      <c r="M521" s="84"/>
      <c r="O521" s="75" t="str">
        <f t="shared" si="83"/>
        <v/>
      </c>
      <c r="P521" s="75" t="str">
        <f t="shared" si="84"/>
        <v/>
      </c>
      <c r="Q521" s="75" t="str">
        <f t="shared" si="85"/>
        <v/>
      </c>
      <c r="R521" s="75" t="str">
        <f t="shared" si="78"/>
        <v/>
      </c>
    </row>
    <row r="522" spans="1:18">
      <c r="A522" s="79" t="str">
        <f>IF(C522="","",VLOOKUP('OPĆI DIO'!$C$3,'OPĆI DIO'!$L$6:$U$138,10,FALSE))</f>
        <v/>
      </c>
      <c r="B522" s="79" t="str">
        <f>IF(C522="","",VLOOKUP('OPĆI DIO'!$C$3,'OPĆI DIO'!$L$6:$U$138,9,FALSE))</f>
        <v/>
      </c>
      <c r="C522" s="85"/>
      <c r="D522" s="80" t="str">
        <f t="shared" si="79"/>
        <v/>
      </c>
      <c r="E522" s="85"/>
      <c r="F522" s="80" t="str">
        <f t="shared" si="80"/>
        <v/>
      </c>
      <c r="G522" s="118"/>
      <c r="H522" s="80" t="str">
        <f t="shared" si="81"/>
        <v/>
      </c>
      <c r="I522" s="80" t="str">
        <f t="shared" si="82"/>
        <v/>
      </c>
      <c r="J522" s="117"/>
      <c r="K522" s="117"/>
      <c r="L522" s="117"/>
      <c r="M522" s="84"/>
      <c r="O522" s="75" t="str">
        <f t="shared" si="83"/>
        <v/>
      </c>
      <c r="P522" s="75" t="str">
        <f t="shared" si="84"/>
        <v/>
      </c>
      <c r="Q522" s="75" t="str">
        <f t="shared" si="85"/>
        <v/>
      </c>
      <c r="R522" s="75" t="str">
        <f t="shared" si="78"/>
        <v/>
      </c>
    </row>
    <row r="523" spans="1:18">
      <c r="A523" s="79" t="str">
        <f>IF(C523="","",VLOOKUP('OPĆI DIO'!$C$3,'OPĆI DIO'!$L$6:$U$138,10,FALSE))</f>
        <v/>
      </c>
      <c r="B523" s="79" t="str">
        <f>IF(C523="","",VLOOKUP('OPĆI DIO'!$C$3,'OPĆI DIO'!$L$6:$U$138,9,FALSE))</f>
        <v/>
      </c>
      <c r="C523" s="85"/>
      <c r="D523" s="80" t="str">
        <f t="shared" si="79"/>
        <v/>
      </c>
      <c r="E523" s="85"/>
      <c r="F523" s="80" t="str">
        <f t="shared" si="80"/>
        <v/>
      </c>
      <c r="G523" s="118"/>
      <c r="H523" s="80" t="str">
        <f t="shared" si="81"/>
        <v/>
      </c>
      <c r="I523" s="80" t="str">
        <f t="shared" si="82"/>
        <v/>
      </c>
      <c r="J523" s="117"/>
      <c r="K523" s="117"/>
      <c r="L523" s="117"/>
      <c r="M523" s="84"/>
      <c r="O523" s="75" t="str">
        <f t="shared" si="83"/>
        <v/>
      </c>
      <c r="P523" s="75" t="str">
        <f t="shared" si="84"/>
        <v/>
      </c>
      <c r="Q523" s="75" t="str">
        <f t="shared" si="85"/>
        <v/>
      </c>
      <c r="R523" s="75" t="str">
        <f t="shared" si="78"/>
        <v/>
      </c>
    </row>
    <row r="524" spans="1:18">
      <c r="A524" s="79" t="str">
        <f>IF(C524="","",VLOOKUP('OPĆI DIO'!$C$3,'OPĆI DIO'!$L$6:$U$138,10,FALSE))</f>
        <v/>
      </c>
      <c r="B524" s="79" t="str">
        <f>IF(C524="","",VLOOKUP('OPĆI DIO'!$C$3,'OPĆI DIO'!$L$6:$U$138,9,FALSE))</f>
        <v/>
      </c>
      <c r="C524" s="85"/>
      <c r="D524" s="80" t="str">
        <f t="shared" si="79"/>
        <v/>
      </c>
      <c r="E524" s="85"/>
      <c r="F524" s="80" t="str">
        <f t="shared" si="80"/>
        <v/>
      </c>
      <c r="G524" s="118"/>
      <c r="H524" s="80" t="str">
        <f t="shared" si="81"/>
        <v/>
      </c>
      <c r="I524" s="80" t="str">
        <f t="shared" si="82"/>
        <v/>
      </c>
      <c r="J524" s="117"/>
      <c r="K524" s="117"/>
      <c r="L524" s="117"/>
      <c r="M524" s="84"/>
      <c r="O524" s="75" t="str">
        <f t="shared" si="83"/>
        <v/>
      </c>
      <c r="P524" s="75" t="str">
        <f t="shared" si="84"/>
        <v/>
      </c>
      <c r="Q524" s="75" t="str">
        <f t="shared" si="85"/>
        <v/>
      </c>
      <c r="R524" s="75" t="str">
        <f t="shared" si="78"/>
        <v/>
      </c>
    </row>
    <row r="525" spans="1:18"/>
    <row r="526" spans="1:18" hidden="1"/>
    <row r="527" spans="1:18" hidden="1"/>
    <row r="528" spans="1:18" hidden="1"/>
    <row r="529" hidden="1"/>
    <row r="530" hidden="1"/>
  </sheetData>
  <sheetProtection selectLockedCells="1"/>
  <sortState ref="AB9:AC94">
    <sortCondition ref="AB6"/>
  </sortState>
  <mergeCells count="1">
    <mergeCell ref="A1:D1"/>
  </mergeCells>
  <conditionalFormatting sqref="M3:M524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524 L3:L524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24" xr:uid="{00000000-0002-0000-0200-000001000000}">
      <formula1>$V$5:$V$152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24" xr:uid="{00000000-0002-0000-0200-000002000000}">
      <formula1>$S$6:$S$25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24" xr:uid="{00000000-0002-0000-0200-000003000000}">
      <formula1>$AB$6:$AB$350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80" zoomScaleNormal="80" workbookViewId="0">
      <pane ySplit="2" topLeftCell="A3" activePane="bottomLeft" state="frozen"/>
      <selection pane="bottomLeft" activeCell="J11" sqref="J11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2" t="s">
        <v>663</v>
      </c>
      <c r="B1" s="372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5265</v>
      </c>
      <c r="I2" s="330" t="s">
        <v>5266</v>
      </c>
      <c r="J2" s="330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/>
      <c r="B3" s="80" t="str">
        <f t="shared" ref="B3" si="0">IFERROR(VLOOKUP(A3,$U$6:$V$23,2,FALSE),"")</f>
        <v/>
      </c>
      <c r="C3" s="85"/>
      <c r="D3" s="80"/>
      <c r="E3" s="118"/>
      <c r="F3" s="80"/>
      <c r="G3" s="80"/>
      <c r="H3" s="117"/>
      <c r="I3" s="117"/>
      <c r="J3" s="117"/>
      <c r="K3" s="130"/>
      <c r="L3" s="129"/>
      <c r="M3" s="129"/>
      <c r="N3" s="130"/>
      <c r="O3" s="307"/>
      <c r="P3" s="84"/>
      <c r="R3" s="75" t="str">
        <f>LEFT(C3,3)</f>
        <v/>
      </c>
      <c r="S3" s="75" t="str">
        <f>LEFT(C3,2)</f>
        <v/>
      </c>
      <c r="T3" s="75" t="str">
        <f>MID(G3,2,2)</f>
        <v/>
      </c>
    </row>
    <row r="4" spans="1:33">
      <c r="A4" s="85">
        <v>52</v>
      </c>
      <c r="B4" s="80" t="str">
        <f t="shared" ref="B4:B67" si="1">IFERROR(VLOOKUP(A4,$U$6:$V$23,2,FALSE),"")</f>
        <v>Ostale pomoći</v>
      </c>
      <c r="C4" s="85">
        <v>3221</v>
      </c>
      <c r="D4" s="80" t="str">
        <f t="shared" ref="D4:D67" si="2">IFERROR(VLOOKUP(C4,$X$5:$Z$129,2,FALSE),"")</f>
        <v>Uredski materijal i ostali materijalni rashodi</v>
      </c>
      <c r="E4" s="118" t="s">
        <v>2034</v>
      </c>
      <c r="F4" s="80" t="str">
        <f t="shared" ref="F4:F67" si="3">IFERROR(VLOOKUP(E4,$AD$6:$AE$1090,2,FALSE),"")</f>
        <v>ERASMUS+GAMe based learning in MAthematics</v>
      </c>
      <c r="G4" s="80" t="str">
        <f t="shared" ref="G4:G67" si="4">IFERROR(VLOOKUP(E4,$AD$6:$AG$1090,4,FALSE),"")</f>
        <v>0942</v>
      </c>
      <c r="H4" s="117">
        <v>500</v>
      </c>
      <c r="I4" s="117"/>
      <c r="J4" s="117">
        <v>500</v>
      </c>
      <c r="K4" s="130"/>
      <c r="L4" s="129"/>
      <c r="M4" s="129"/>
      <c r="N4" s="130"/>
      <c r="O4" s="307"/>
      <c r="P4" s="84"/>
      <c r="R4" s="75" t="str">
        <f t="shared" ref="R4:R67" si="5">LEFT(C4,3)</f>
        <v>322</v>
      </c>
      <c r="S4" s="75" t="str">
        <f t="shared" ref="S4:S67" si="6">LEFT(C4,2)</f>
        <v>32</v>
      </c>
      <c r="T4" s="75" t="str">
        <f t="shared" ref="T4:T67" si="7">MID(G4,2,2)</f>
        <v>94</v>
      </c>
      <c r="X4" s="81"/>
      <c r="Y4" s="81"/>
    </row>
    <row r="5" spans="1:33">
      <c r="A5" s="85">
        <v>52</v>
      </c>
      <c r="B5" s="80" t="str">
        <f t="shared" si="1"/>
        <v>Ostale pomoći</v>
      </c>
      <c r="C5" s="85">
        <v>3239</v>
      </c>
      <c r="D5" s="80" t="str">
        <f t="shared" si="2"/>
        <v>Ostale usluge</v>
      </c>
      <c r="E5" s="118" t="s">
        <v>2034</v>
      </c>
      <c r="F5" s="80" t="str">
        <f t="shared" si="3"/>
        <v>ERASMUS+GAMe based learning in MAthematics</v>
      </c>
      <c r="G5" s="80" t="str">
        <f t="shared" si="4"/>
        <v>0942</v>
      </c>
      <c r="H5" s="117">
        <v>900</v>
      </c>
      <c r="I5" s="117"/>
      <c r="J5" s="117">
        <v>900</v>
      </c>
      <c r="K5" s="130"/>
      <c r="L5" s="129"/>
      <c r="M5" s="129"/>
      <c r="N5" s="130"/>
      <c r="O5" s="307"/>
      <c r="P5" s="84"/>
      <c r="R5" s="75" t="str">
        <f t="shared" si="5"/>
        <v>323</v>
      </c>
      <c r="S5" s="75" t="str">
        <f t="shared" si="6"/>
        <v>32</v>
      </c>
      <c r="T5" s="75" t="str">
        <f t="shared" si="7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52</v>
      </c>
      <c r="B6" s="80" t="str">
        <f t="shared" si="1"/>
        <v>Ostale pomoći</v>
      </c>
      <c r="C6" s="85">
        <v>3293</v>
      </c>
      <c r="D6" s="80" t="str">
        <f t="shared" si="2"/>
        <v>Reprezentacija</v>
      </c>
      <c r="E6" s="118" t="s">
        <v>2034</v>
      </c>
      <c r="F6" s="80" t="str">
        <f t="shared" si="3"/>
        <v>ERASMUS+GAMe based learning in MAthematics</v>
      </c>
      <c r="G6" s="80" t="str">
        <f t="shared" si="4"/>
        <v>0942</v>
      </c>
      <c r="H6" s="117">
        <v>3000</v>
      </c>
      <c r="I6" s="117"/>
      <c r="J6" s="117">
        <v>3000</v>
      </c>
      <c r="K6" s="130"/>
      <c r="L6" s="129"/>
      <c r="M6" s="129"/>
      <c r="N6" s="130"/>
      <c r="O6" s="307"/>
      <c r="P6" s="84"/>
      <c r="R6" s="75" t="str">
        <f t="shared" si="5"/>
        <v>329</v>
      </c>
      <c r="S6" s="75" t="str">
        <f t="shared" si="6"/>
        <v>32</v>
      </c>
      <c r="T6" s="75" t="str">
        <f t="shared" si="7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52</v>
      </c>
      <c r="B7" s="80" t="str">
        <f t="shared" si="1"/>
        <v>Ostale pomoći</v>
      </c>
      <c r="C7" s="85">
        <v>3237</v>
      </c>
      <c r="D7" s="80" t="str">
        <f t="shared" si="2"/>
        <v>Intelektualne i osobne usluge</v>
      </c>
      <c r="E7" s="118" t="s">
        <v>2034</v>
      </c>
      <c r="F7" s="80" t="str">
        <f t="shared" si="3"/>
        <v>ERASMUS+GAMe based learning in MAthematics</v>
      </c>
      <c r="G7" s="80" t="str">
        <f t="shared" si="4"/>
        <v>0942</v>
      </c>
      <c r="H7" s="117">
        <v>1000</v>
      </c>
      <c r="I7" s="117"/>
      <c r="J7" s="117">
        <v>1000</v>
      </c>
      <c r="K7" s="130"/>
      <c r="L7" s="129"/>
      <c r="M7" s="129"/>
      <c r="N7" s="130"/>
      <c r="O7" s="307"/>
      <c r="P7" s="84"/>
      <c r="R7" s="75" t="str">
        <f t="shared" si="5"/>
        <v>323</v>
      </c>
      <c r="S7" s="75" t="str">
        <f t="shared" si="6"/>
        <v>32</v>
      </c>
      <c r="T7" s="75" t="str">
        <f t="shared" si="7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52</v>
      </c>
      <c r="B8" s="80" t="str">
        <f t="shared" si="1"/>
        <v>Ostale pomoći</v>
      </c>
      <c r="C8" s="85">
        <v>3299</v>
      </c>
      <c r="D8" s="80" t="str">
        <f t="shared" si="2"/>
        <v>Ostali nespomenuti rashodi poslovanja</v>
      </c>
      <c r="E8" s="118" t="s">
        <v>2034</v>
      </c>
      <c r="F8" s="80" t="str">
        <f t="shared" si="3"/>
        <v>ERASMUS+GAMe based learning in MAthematics</v>
      </c>
      <c r="G8" s="80" t="str">
        <f t="shared" si="4"/>
        <v>0942</v>
      </c>
      <c r="H8" s="117">
        <v>1600</v>
      </c>
      <c r="I8" s="117"/>
      <c r="J8" s="117">
        <v>1600</v>
      </c>
      <c r="K8" s="130"/>
      <c r="L8" s="129"/>
      <c r="M8" s="129"/>
      <c r="N8" s="130"/>
      <c r="O8" s="307"/>
      <c r="P8" s="84"/>
      <c r="R8" s="75" t="str">
        <f t="shared" si="5"/>
        <v>329</v>
      </c>
      <c r="S8" s="75" t="str">
        <f t="shared" si="6"/>
        <v>32</v>
      </c>
      <c r="T8" s="75" t="str">
        <f t="shared" si="7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>
        <v>52</v>
      </c>
      <c r="B9" s="80" t="str">
        <f t="shared" si="1"/>
        <v>Ostale pomoći</v>
      </c>
      <c r="C9" s="85">
        <v>3213</v>
      </c>
      <c r="D9" s="80" t="str">
        <f t="shared" si="2"/>
        <v>Stručno usavršavanje zaposlenika</v>
      </c>
      <c r="E9" s="118" t="s">
        <v>2034</v>
      </c>
      <c r="F9" s="80" t="str">
        <f t="shared" si="3"/>
        <v>ERASMUS+GAMe based learning in MAthematics</v>
      </c>
      <c r="G9" s="80" t="str">
        <f t="shared" si="4"/>
        <v>0942</v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>321</v>
      </c>
      <c r="S9" s="75" t="str">
        <f t="shared" si="6"/>
        <v>32</v>
      </c>
      <c r="T9" s="75" t="str">
        <f t="shared" si="7"/>
        <v>94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52</v>
      </c>
      <c r="B10" s="80" t="str">
        <f t="shared" si="1"/>
        <v>Ostale pomoći</v>
      </c>
      <c r="C10" s="85">
        <v>3211</v>
      </c>
      <c r="D10" s="80" t="str">
        <f t="shared" si="2"/>
        <v>Službena putovanja</v>
      </c>
      <c r="E10" s="118" t="s">
        <v>2034</v>
      </c>
      <c r="F10" s="80" t="str">
        <f t="shared" si="3"/>
        <v>ERASMUS+GAMe based learning in MAthematics</v>
      </c>
      <c r="G10" s="80" t="str">
        <f t="shared" si="4"/>
        <v>0942</v>
      </c>
      <c r="H10" s="117">
        <v>3985</v>
      </c>
      <c r="I10" s="117"/>
      <c r="J10" s="117">
        <v>3985</v>
      </c>
      <c r="K10" s="130"/>
      <c r="L10" s="129"/>
      <c r="M10" s="129"/>
      <c r="N10" s="130"/>
      <c r="O10" s="307"/>
      <c r="P10" s="84"/>
      <c r="R10" s="75" t="str">
        <f t="shared" si="5"/>
        <v>321</v>
      </c>
      <c r="S10" s="75" t="str">
        <f t="shared" si="6"/>
        <v>32</v>
      </c>
      <c r="T10" s="75" t="str">
        <f t="shared" si="7"/>
        <v>94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H501 J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16" activePane="bottomRight" state="frozen"/>
      <selection pane="topRight" activeCell="B1" sqref="B1"/>
      <selection pane="bottomLeft" activeCell="A7" sqref="A7"/>
      <selection pane="bottomRight" activeCell="D38" sqref="D3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3" t="s">
        <v>5078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</row>
    <row r="2" spans="1:21" ht="15.6" customHeight="1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</row>
    <row r="3" spans="1:21" ht="15.6" customHeight="1">
      <c r="A3" s="373" t="s">
        <v>5079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</row>
    <row r="4" spans="1:21" ht="15.6" customHeight="1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</row>
    <row r="5" spans="1:21" ht="15.6" customHeight="1">
      <c r="A5" s="373" t="s">
        <v>5103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2023</v>
      </c>
      <c r="B8" s="335" t="s">
        <v>5265</v>
      </c>
      <c r="C8" s="60">
        <f>SUM(D8:U8)</f>
        <v>748313</v>
      </c>
      <c r="D8" s="60">
        <f>+D30+D27</f>
        <v>675664</v>
      </c>
      <c r="E8" s="60">
        <f>+E30+E27</f>
        <v>0</v>
      </c>
      <c r="F8" s="60">
        <f>+F30+F27</f>
        <v>217</v>
      </c>
      <c r="G8" s="60">
        <f t="shared" ref="G8:U8" si="0">+G30+G27</f>
        <v>0</v>
      </c>
      <c r="H8" s="60">
        <f t="shared" si="0"/>
        <v>44734</v>
      </c>
      <c r="I8" s="60">
        <f>+I30+I27</f>
        <v>0</v>
      </c>
      <c r="J8" s="60">
        <f t="shared" si="0"/>
        <v>27698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primitaka'!$G$3:$G$502,'Unos prihoda i primitaka'!$C$3:$C$502,"=11",'Unos prihoda i primitaka'!$L$3:$L$502,"=61")</f>
        <v>0</v>
      </c>
      <c r="E9" s="120">
        <f>SUMIFS('Unos prihoda i primitaka'!$G$3:$G$502,'Unos prihoda i primitaka'!$C$3:$C$502,"=12",'Unos prihoda i primitaka'!$L$3:$L$502,"=61")</f>
        <v>0</v>
      </c>
      <c r="F9" s="120">
        <f>SUMIFS('Unos prihoda i primitaka'!$G$3:$G$502,'Unos prihoda i primitaka'!$C$3:$C$502,"=31",'Unos prihoda i primitaka'!$L$3:$L$502,"=61")</f>
        <v>0</v>
      </c>
      <c r="G9" s="120">
        <f>SUMIFS('Unos prihoda i primitaka'!$G$3:$G$502,'Unos prihoda i primitaka'!$C$3:$C$502,"=41",'Unos prihoda i primitaka'!$L$3:$L$502,"=61")</f>
        <v>0</v>
      </c>
      <c r="H9" s="120">
        <f>SUMIFS('Unos prihoda i primitaka'!$G$3:$G$502,'Unos prihoda i primitaka'!$C$3:$C$502,"=43",'Unos prihoda i primitaka'!$L$3:$L$502,"=61")</f>
        <v>0</v>
      </c>
      <c r="I9" s="120">
        <f>SUMIFS('Unos prihoda i primitaka'!$G$3:$G$502,'Unos prihoda i primitaka'!$C$3:$C$502,"=51",'Unos prihoda i primitaka'!$L$3:$L$502,"=61")</f>
        <v>0</v>
      </c>
      <c r="J9" s="120">
        <f>SUMIFS('Unos prihoda i primitaka'!$G$3:$G$502,'Unos prihoda i primitaka'!$C$3:$C$502,"=52",'Unos prihoda i primitaka'!$L$3:$L$502,"=61")</f>
        <v>0</v>
      </c>
      <c r="K9" s="120">
        <f>SUMIFS('Unos prihoda i primitaka'!$G$3:$G$502,'Unos prihoda i primitaka'!$C$3:$C$502,"=552",'Unos prihoda i primitaka'!$L$3:$L$502,"=61")</f>
        <v>0</v>
      </c>
      <c r="L9" s="120">
        <f>SUMIFS('Unos prihoda i primitaka'!$G$3:$G$502,'Unos prihoda i primitaka'!$C$3:$C$502,"=559",'Unos prihoda i primitaka'!$L$3:$L$502,"=61")</f>
        <v>0</v>
      </c>
      <c r="M9" s="120">
        <f>SUMIFS('Unos prihoda i primitaka'!$G$3:$G$502,'Unos prihoda i primitaka'!$C$3:$C$502,"=561",'Unos prihoda i primitaka'!$L$3:$L$502,"=61")</f>
        <v>0</v>
      </c>
      <c r="N9" s="120">
        <f>SUMIFS('Unos prihoda i primitaka'!$G$3:$G$502,'Unos prihoda i primitaka'!$C$3:$C$502,"=563",'Unos prihoda i primitaka'!$L$3:$L$502,"=61")</f>
        <v>0</v>
      </c>
      <c r="O9" s="120">
        <f>SUMIFS('Unos prihoda i primitaka'!$G$3:$G$502,'Unos prihoda i primitaka'!$C$3:$C$502,"=573",'Unos prihoda i primitaka'!$L$3:$L$502,"=61")</f>
        <v>0</v>
      </c>
      <c r="P9" s="120">
        <f>SUMIFS('Unos prihoda i primitaka'!$G$3:$G$502,'Unos prihoda i primitaka'!$C$3:$C$502,"=575",'Unos prihoda i primitaka'!$L$3:$L$502,"=61")</f>
        <v>0</v>
      </c>
      <c r="Q9" s="120">
        <f>SUMIFS('Unos prihoda i primitaka'!$G$3:$G$502,'Unos prihoda i primitaka'!$C$3:$C$502,"=576",'Unos prihoda i primitaka'!$L$3:$L$502,"=61")</f>
        <v>0</v>
      </c>
      <c r="R9" s="120">
        <f>SUMIFS('Unos prihoda i primitaka'!$G$3:$G$502,'Unos prihoda i primitaka'!$C$3:$C$502,"=581",'Unos prihoda i primitaka'!$L$3:$L$502,"=61")</f>
        <v>0</v>
      </c>
      <c r="S9" s="120">
        <f>SUMIFS('Unos prihoda i primitaka'!$G$3:$G$502,'Unos prihoda i primitaka'!$C$3:$C$502,"=61",'Unos prihoda i primitaka'!$L$3:$L$502,"=61")</f>
        <v>0</v>
      </c>
      <c r="T9" s="120">
        <f>SUMIFS('Unos prihoda i primitaka'!$G$3:$G$502,'Unos prihoda i primitaka'!$C$3:$C$502,"=63",'Unos prihoda i primitaka'!$L$3:$L$502,"=61")</f>
        <v>0</v>
      </c>
      <c r="U9" s="120">
        <f>SUMIFS('Unos prihoda i primitaka'!$G$3:$G$502,'Unos prihoda i primitaka'!$C$3:$C$502,"=71",'Unos prihoda i primitaka'!$L$3:$L$502,"=61")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27698</v>
      </c>
      <c r="D10" s="120">
        <f>SUMIFS('Unos prihoda i primitaka'!$G$3:$G$502,'Unos prihoda i primitaka'!$C$3:$C$502,"=11",'Unos prihoda i primitaka'!$L$3:$L$502,"=63")</f>
        <v>0</v>
      </c>
      <c r="E10" s="120">
        <f>SUMIFS('Unos prihoda i primitaka'!$G$3:$G$502,'Unos prihoda i primitaka'!$C$3:$C$502,"=12",'Unos prihoda i primitaka'!$L$3:$L$502,"=63")</f>
        <v>0</v>
      </c>
      <c r="F10" s="120">
        <f>SUMIFS('Unos prihoda i primitaka'!$G$3:$G$502,'Unos prihoda i primitaka'!$C$3:$C$502,"=31",'Unos prihoda i primitaka'!$L$3:$L$502,"=63")</f>
        <v>0</v>
      </c>
      <c r="G10" s="120">
        <f>SUMIFS('Unos prihoda i primitaka'!$G$3:$G$502,'Unos prihoda i primitaka'!$C$3:$C$502,"=41",'Unos prihoda i primitaka'!$L$3:$L$502,"=63")</f>
        <v>0</v>
      </c>
      <c r="H10" s="120">
        <f>SUMIFS('Unos prihoda i primitaka'!$G$3:$G$502,'Unos prihoda i primitaka'!$C$3:$C$502,"=43",'Unos prihoda i primitaka'!$L$3:$L$502,"=63")</f>
        <v>0</v>
      </c>
      <c r="I10" s="120">
        <f>SUMIFS('Unos prihoda i primitaka'!$G$3:$G$502,'Unos prihoda i primitaka'!$C$3:$C$502,"=51",'Unos prihoda i primitaka'!$L$3:$L$502,"=63")</f>
        <v>0</v>
      </c>
      <c r="J10" s="120">
        <f>SUMIFS('Unos prihoda i primitaka'!$G$3:$G$502,'Unos prihoda i primitaka'!$C$3:$C$502,"=52",'Unos prihoda i primitaka'!$L$3:$L$502,"=63")</f>
        <v>27698</v>
      </c>
      <c r="K10" s="120">
        <f>SUMIFS('Unos prihoda i primitaka'!$G$3:$G$502,'Unos prihoda i primitaka'!$C$3:$C$502,"=552",'Unos prihoda i primitaka'!$L$3:$L$502,"=63")</f>
        <v>0</v>
      </c>
      <c r="L10" s="120">
        <f>SUMIFS('Unos prihoda i primitaka'!$G$3:$G$502,'Unos prihoda i primitaka'!$C$3:$C$502,"=559",'Unos prihoda i primitaka'!$L$3:$L$502,"=63")</f>
        <v>0</v>
      </c>
      <c r="M10" s="120">
        <f>SUMIFS('Unos prihoda i primitaka'!$G$3:$G$502,'Unos prihoda i primitaka'!$C$3:$C$502,"=561",'Unos prihoda i primitaka'!$L$3:$L$502,"=63")</f>
        <v>0</v>
      </c>
      <c r="N10" s="120">
        <f>SUMIFS('Unos prihoda i primitaka'!$G$3:$G$502,'Unos prihoda i primitaka'!$C$3:$C$502,"=563",'Unos prihoda i primitaka'!$L$3:$L$502,"=63")</f>
        <v>0</v>
      </c>
      <c r="O10" s="120">
        <f>SUMIFS('Unos prihoda i primitaka'!$G$3:$G$502,'Unos prihoda i primitaka'!$C$3:$C$502,"=573",'Unos prihoda i primitaka'!$L$3:$L$502,"=63")</f>
        <v>0</v>
      </c>
      <c r="P10" s="120">
        <f>SUMIFS('Unos prihoda i primitaka'!$G$3:$G$502,'Unos prihoda i primitaka'!$C$3:$C$502,"=575",'Unos prihoda i primitaka'!$L$3:$L$502,"=63")</f>
        <v>0</v>
      </c>
      <c r="Q10" s="120">
        <f>SUMIFS('Unos prihoda i primitaka'!$G$3:$G$502,'Unos prihoda i primitaka'!$C$3:$C$502,"=576",'Unos prihoda i primitaka'!$L$3:$L$502,"=63")</f>
        <v>0</v>
      </c>
      <c r="R10" s="120">
        <f>SUMIFS('Unos prihoda i primitaka'!$G$3:$G$502,'Unos prihoda i primitaka'!$C$3:$C$502,"=581",'Unos prihoda i primitaka'!$L$3:$L$502,"=63")</f>
        <v>0</v>
      </c>
      <c r="S10" s="120">
        <f>SUMIFS('Unos prihoda i primitaka'!$G$3:$G$502,'Unos prihoda i primitaka'!$C$3:$C$502,"=61",'Unos prihoda i primitaka'!$L$3:$L$502,"=63")</f>
        <v>0</v>
      </c>
      <c r="T10" s="120">
        <f>SUMIFS('Unos prihoda i primitaka'!$G$3:$G$502,'Unos prihoda i primitaka'!$C$3:$C$502,"=63",'Unos prihoda i primitaka'!$L$3:$L$502,"=63")</f>
        <v>0</v>
      </c>
      <c r="U10" s="120">
        <f>SUMIFS('Unos prihoda i primitaka'!$G$3:$G$502,'Unos prihoda i primitaka'!$C$3:$C$502,"=71",'Unos prihoda i primitaka'!$L$3:$L$502,"=63")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18</v>
      </c>
      <c r="D14" s="120">
        <f>SUMIFS('Unos prihoda i primitaka'!$G$3:$G$502,'Unos prihoda i primitaka'!$C$3:$C$502,"=11",'Unos prihoda i primitaka'!$L$3:$L$502,"=64")</f>
        <v>0</v>
      </c>
      <c r="E14" s="120">
        <f>SUMIFS('Unos prihoda i primitaka'!$G$3:$G$502,'Unos prihoda i primitaka'!$C$3:$C$502,"=12",'Unos prihoda i primitaka'!$L$3:$L$502,"=64")</f>
        <v>0</v>
      </c>
      <c r="F14" s="120">
        <f>SUMIFS('Unos prihoda i primitaka'!$G$3:$G$502,'Unos prihoda i primitaka'!$C$3:$C$502,"=31",'Unos prihoda i primitaka'!$L$3:$L$502,"=64")</f>
        <v>18</v>
      </c>
      <c r="G14" s="120">
        <f>SUMIFS('Unos prihoda i primitaka'!$G$3:$G$502,'Unos prihoda i primitaka'!$C$3:$C$502,"=41",'Unos prihoda i primitaka'!$L$3:$L$502,"=64")</f>
        <v>0</v>
      </c>
      <c r="H14" s="120">
        <f>SUMIFS('Unos prihoda i primitaka'!$G$3:$G$502,'Unos prihoda i primitaka'!$C$3:$C$502,"=43",'Unos prihoda i primitaka'!$L$3:$L$502,"=64")</f>
        <v>0</v>
      </c>
      <c r="I14" s="120">
        <f>SUMIFS('Unos prihoda i primitaka'!$G$3:$G$502,'Unos prihoda i primitaka'!$C$3:$C$502,"=51",'Unos prihoda i primitaka'!$L$3:$L$502,"=64")</f>
        <v>0</v>
      </c>
      <c r="J14" s="120">
        <f>SUMIFS('Unos prihoda i primitaka'!$G$3:$G$502,'Unos prihoda i primitaka'!$C$3:$C$502,"=52",'Unos prihoda i primitaka'!$L$3:$L$502,"=64")</f>
        <v>0</v>
      </c>
      <c r="K14" s="120">
        <f>SUMIFS('Unos prihoda i primitaka'!$G$3:$G$502,'Unos prihoda i primitaka'!$C$3:$C$502,"=552",'Unos prihoda i primitaka'!$L$3:$L$502,"=64")</f>
        <v>0</v>
      </c>
      <c r="L14" s="120">
        <f>SUMIFS('Unos prihoda i primitaka'!$G$3:$G$502,'Unos prihoda i primitaka'!$C$3:$C$502,"=559",'Unos prihoda i primitaka'!$L$3:$L$502,"=64")</f>
        <v>0</v>
      </c>
      <c r="M14" s="120">
        <f>SUMIFS('Unos prihoda i primitaka'!$G$3:$G$502,'Unos prihoda i primitaka'!$C$3:$C$502,"=561",'Unos prihoda i primitaka'!$L$3:$L$502,"=64")</f>
        <v>0</v>
      </c>
      <c r="N14" s="120">
        <f>SUMIFS('Unos prihoda i primitaka'!$G$3:$G$502,'Unos prihoda i primitaka'!$C$3:$C$502,"=563",'Unos prihoda i primitaka'!$L$3:$L$502,"=64")</f>
        <v>0</v>
      </c>
      <c r="O14" s="120">
        <f>SUMIFS('Unos prihoda i primitaka'!$G$3:$G$502,'Unos prihoda i primitaka'!$C$3:$C$502,"=573",'Unos prihoda i primitaka'!$L$3:$L$502,"=64")</f>
        <v>0</v>
      </c>
      <c r="P14" s="120">
        <f>SUMIFS('Unos prihoda i primitaka'!$G$3:$G$502,'Unos prihoda i primitaka'!$C$3:$C$502,"=575",'Unos prihoda i primitaka'!$L$3:$L$502,"=64")</f>
        <v>0</v>
      </c>
      <c r="Q14" s="120">
        <f>SUMIFS('Unos prihoda i primitaka'!$G$3:$G$502,'Unos prihoda i primitaka'!$C$3:$C$502,"=576",'Unos prihoda i primitaka'!$L$3:$L$502,"=64")</f>
        <v>0</v>
      </c>
      <c r="R14" s="120">
        <f>SUMIFS('Unos prihoda i primitaka'!$G$3:$G$502,'Unos prihoda i primitaka'!$C$3:$C$502,"=581",'Unos prihoda i primitaka'!$L$3:$L$502,"=64")</f>
        <v>0</v>
      </c>
      <c r="S14" s="120">
        <f>SUMIFS('Unos prihoda i primitaka'!$G$3:$G$502,'Unos prihoda i primitaka'!$C$3:$C$502,"=61",'Unos prihoda i primitaka'!$L$3:$L$502,"=64")</f>
        <v>0</v>
      </c>
      <c r="T14" s="120">
        <f>SUMIFS('Unos prihoda i primitaka'!$G$3:$G$502,'Unos prihoda i primitaka'!$C$3:$C$502,"=63",'Unos prihoda i primitaka'!$L$3:$L$502,"=64")</f>
        <v>0</v>
      </c>
      <c r="U14" s="120">
        <f>SUMIFS('Unos prihoda i primitaka'!$G$3:$G$502,'Unos prihoda i primitaka'!$C$3:$C$502,"=71",'Unos prihoda i primitaka'!$L$3:$L$502,"=64")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44734</v>
      </c>
      <c r="D17" s="120">
        <f>SUMIFS('Unos prihoda i primitaka'!$G$3:$G$502,'Unos prihoda i primitaka'!$C$3:$C$502,"=11",'Unos prihoda i primitaka'!$L$3:$L$502,"=65")</f>
        <v>0</v>
      </c>
      <c r="E17" s="120">
        <f>SUMIFS('Unos prihoda i primitaka'!$G$3:$G$502,'Unos prihoda i primitaka'!$C$3:$C$502,"=12",'Unos prihoda i primitaka'!$L$3:$L$502,"=65")</f>
        <v>0</v>
      </c>
      <c r="F17" s="120">
        <f>SUMIFS('Unos prihoda i primitaka'!$G$3:$G$502,'Unos prihoda i primitaka'!$C$3:$C$502,"=31",'Unos prihoda i primitaka'!$L$3:$L$502,"=65")</f>
        <v>0</v>
      </c>
      <c r="G17" s="120">
        <f>SUMIFS('Unos prihoda i primitaka'!$G$3:$G$502,'Unos prihoda i primitaka'!$C$3:$C$502,"=41",'Unos prihoda i primitaka'!$L$3:$L$502,"=65")</f>
        <v>0</v>
      </c>
      <c r="H17" s="120">
        <f>SUMIFS('Unos prihoda i primitaka'!$G$3:$G$502,'Unos prihoda i primitaka'!$C$3:$C$502,"=43",'Unos prihoda i primitaka'!$L$3:$L$502,"=65")</f>
        <v>44734</v>
      </c>
      <c r="I17" s="120">
        <f>SUMIFS('Unos prihoda i primitaka'!$G$3:$G$502,'Unos prihoda i primitaka'!$C$3:$C$502,"=51",'Unos prihoda i primitaka'!$L$3:$L$502,"=65")</f>
        <v>0</v>
      </c>
      <c r="J17" s="120">
        <f>SUMIFS('Unos prihoda i primitaka'!$G$3:$G$502,'Unos prihoda i primitaka'!$C$3:$C$502,"=52",'Unos prihoda i primitaka'!$L$3:$L$502,"=65")</f>
        <v>0</v>
      </c>
      <c r="K17" s="120">
        <f>SUMIFS('Unos prihoda i primitaka'!$G$3:$G$502,'Unos prihoda i primitaka'!$C$3:$C$502,"=552",'Unos prihoda i primitaka'!$L$3:$L$502,"=65")</f>
        <v>0</v>
      </c>
      <c r="L17" s="120">
        <f>SUMIFS('Unos prihoda i primitaka'!$G$3:$G$502,'Unos prihoda i primitaka'!$C$3:$C$502,"=559",'Unos prihoda i primitaka'!$L$3:$L$502,"=65")</f>
        <v>0</v>
      </c>
      <c r="M17" s="120">
        <f>SUMIFS('Unos prihoda i primitaka'!$G$3:$G$502,'Unos prihoda i primitaka'!$C$3:$C$502,"=561",'Unos prihoda i primitaka'!$L$3:$L$502,"=65")</f>
        <v>0</v>
      </c>
      <c r="N17" s="120">
        <f>SUMIFS('Unos prihoda i primitaka'!$G$3:$G$502,'Unos prihoda i primitaka'!$C$3:$C$502,"=563",'Unos prihoda i primitaka'!$L$3:$L$502,"=65")</f>
        <v>0</v>
      </c>
      <c r="O17" s="120">
        <f>SUMIFS('Unos prihoda i primitaka'!$G$3:$G$502,'Unos prihoda i primitaka'!$C$3:$C$502,"=573",'Unos prihoda i primitaka'!$L$3:$L$502,"=65")</f>
        <v>0</v>
      </c>
      <c r="P17" s="120">
        <f>SUMIFS('Unos prihoda i primitaka'!$G$3:$G$502,'Unos prihoda i primitaka'!$C$3:$C$502,"=575",'Unos prihoda i primitaka'!$L$3:$L$502,"=65")</f>
        <v>0</v>
      </c>
      <c r="Q17" s="120">
        <f>SUMIFS('Unos prihoda i primitaka'!$G$3:$G$502,'Unos prihoda i primitaka'!$C$3:$C$502,"=576",'Unos prihoda i primitaka'!$L$3:$L$502,"=65")</f>
        <v>0</v>
      </c>
      <c r="R17" s="120">
        <f>SUMIFS('Unos prihoda i primitaka'!$G$3:$G$502,'Unos prihoda i primitaka'!$C$3:$C$502,"=581",'Unos prihoda i primitaka'!$L$3:$L$502,"=65")</f>
        <v>0</v>
      </c>
      <c r="S17" s="120">
        <f>SUMIFS('Unos prihoda i primitaka'!$G$3:$G$502,'Unos prihoda i primitaka'!$C$3:$C$502,"=61",'Unos prihoda i primitaka'!$L$3:$L$502,"=65")</f>
        <v>0</v>
      </c>
      <c r="T17" s="120">
        <f>SUMIFS('Unos prihoda i primitaka'!$G$3:$G$502,'Unos prihoda i primitaka'!$C$3:$C$502,"=63",'Unos prihoda i primitaka'!$L$3:$L$502,"=65")</f>
        <v>0</v>
      </c>
      <c r="U17" s="120">
        <f>SUMIFS('Unos prihoda i primitaka'!$G$3:$G$502,'Unos prihoda i primitaka'!$C$3:$C$502,"=71",'Unos prihoda i primitaka'!$L$3:$L$502,"=65")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199</v>
      </c>
      <c r="D21" s="120">
        <f>SUMIFS('Unos prihoda i primitaka'!$G$3:$G$502,'Unos prihoda i primitaka'!$C$3:$C$502,"=11",'Unos prihoda i primitaka'!$L$3:$L$502,"=66")</f>
        <v>0</v>
      </c>
      <c r="E21" s="120">
        <f>SUMIFS('Unos prihoda i primitaka'!$G$3:$G$502,'Unos prihoda i primitaka'!$C$3:$C$502,"=12",'Unos prihoda i primitaka'!$L$3:$L$502,"=66")</f>
        <v>0</v>
      </c>
      <c r="F21" s="120">
        <f>SUMIFS('Unos prihoda i primitaka'!$G$3:$G$502,'Unos prihoda i primitaka'!$C$3:$C$502,"=31",'Unos prihoda i primitaka'!$L$3:$L$502,"=66")</f>
        <v>199</v>
      </c>
      <c r="G21" s="120">
        <f>SUMIFS('Unos prihoda i primitaka'!$G$3:$G$502,'Unos prihoda i primitaka'!$C$3:$C$502,"=41",'Unos prihoda i primitaka'!$L$3:$L$502,"=66")</f>
        <v>0</v>
      </c>
      <c r="H21" s="120">
        <f>SUMIFS('Unos prihoda i primitaka'!$G$3:$G$502,'Unos prihoda i primitaka'!$C$3:$C$502,"=43",'Unos prihoda i primitaka'!$L$3:$L$502,"=66")</f>
        <v>0</v>
      </c>
      <c r="I21" s="120">
        <f>SUMIFS('Unos prihoda i primitaka'!$G$3:$G$502,'Unos prihoda i primitaka'!$C$3:$C$502,"=51",'Unos prihoda i primitaka'!$L$3:$L$502,"=66")</f>
        <v>0</v>
      </c>
      <c r="J21" s="120">
        <f>SUMIFS('Unos prihoda i primitaka'!$G$3:$G$502,'Unos prihoda i primitaka'!$C$3:$C$502,"=52",'Unos prihoda i primitaka'!$L$3:$L$502,"=66")</f>
        <v>0</v>
      </c>
      <c r="K21" s="120">
        <f>SUMIFS('Unos prihoda i primitaka'!$G$3:$G$502,'Unos prihoda i primitaka'!$C$3:$C$502,"=552",'Unos prihoda i primitaka'!$L$3:$L$502,"=66")</f>
        <v>0</v>
      </c>
      <c r="L21" s="120">
        <f>SUMIFS('Unos prihoda i primitaka'!$G$3:$G$502,'Unos prihoda i primitaka'!$C$3:$C$502,"=559",'Unos prihoda i primitaka'!$L$3:$L$502,"=66")</f>
        <v>0</v>
      </c>
      <c r="M21" s="120">
        <f>SUMIFS('Unos prihoda i primitaka'!$G$3:$G$502,'Unos prihoda i primitaka'!$C$3:$C$502,"=561",'Unos prihoda i primitaka'!$L$3:$L$502,"=66")</f>
        <v>0</v>
      </c>
      <c r="N21" s="120">
        <f>SUMIFS('Unos prihoda i primitaka'!$G$3:$G$502,'Unos prihoda i primitaka'!$C$3:$C$502,"=563",'Unos prihoda i primitaka'!$L$3:$L$502,"=66")</f>
        <v>0</v>
      </c>
      <c r="O21" s="120">
        <f>SUMIFS('Unos prihoda i primitaka'!$G$3:$G$502,'Unos prihoda i primitaka'!$C$3:$C$502,"=573",'Unos prihoda i primitaka'!$L$3:$L$502,"=66")</f>
        <v>0</v>
      </c>
      <c r="P21" s="120">
        <f>SUMIFS('Unos prihoda i primitaka'!$G$3:$G$502,'Unos prihoda i primitaka'!$C$3:$C$502,"=575",'Unos prihoda i primitaka'!$L$3:$L$502,"=66")</f>
        <v>0</v>
      </c>
      <c r="Q21" s="120">
        <f>SUMIFS('Unos prihoda i primitaka'!$G$3:$G$502,'Unos prihoda i primitaka'!$C$3:$C$502,"=576",'Unos prihoda i primitaka'!$L$3:$L$502,"=66")</f>
        <v>0</v>
      </c>
      <c r="R21" s="120">
        <f>SUMIFS('Unos prihoda i primitaka'!$G$3:$G$502,'Unos prihoda i primitaka'!$C$3:$C$502,"=581",'Unos prihoda i primitaka'!$L$3:$L$502,"=66")</f>
        <v>0</v>
      </c>
      <c r="S21" s="120">
        <f>SUMIFS('Unos prihoda i primitaka'!$G$3:$G$502,'Unos prihoda i primitaka'!$C$3:$C$502,"=61",'Unos prihoda i primitaka'!$L$3:$L$502,"=66")</f>
        <v>0</v>
      </c>
      <c r="T21" s="120">
        <f>SUMIFS('Unos prihoda i primitaka'!$G$3:$G$502,'Unos prihoda i primitaka'!$C$3:$C$502,"=63",'Unos prihoda i primitaka'!$L$3:$L$502,"=66")</f>
        <v>0</v>
      </c>
      <c r="U21" s="120">
        <f>SUMIFS('Unos prihoda i primitaka'!$G$3:$G$502,'Unos prihoda i primitaka'!$C$3:$C$502,"=71",'Unos prihoda i primitaka'!$L$3:$L$502,"=66")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675664</v>
      </c>
      <c r="D25" s="120">
        <f>SUMIFS('Unos prihoda i primitaka'!$G$3:$G$502,'Unos prihoda i primitaka'!$C$3:$C$502,"=11",'Unos prihoda i primitaka'!$L$3:$L$502,"=67")</f>
        <v>675664</v>
      </c>
      <c r="E25" s="120">
        <f>SUMIFS('Unos prihoda i primitaka'!$G$3:$G$502,'Unos prihoda i primitaka'!$C$3:$C$502,"=12",'Unos prihoda i primitaka'!$L$3:$L$502,"=67")</f>
        <v>0</v>
      </c>
      <c r="F25" s="120">
        <f>SUMIFS('Unos prihoda i primitaka'!$G$3:$G$502,'Unos prihoda i primitaka'!$C$3:$C$502,"=31",'Unos prihoda i primitaka'!$L$3:$L$502,"=67")</f>
        <v>0</v>
      </c>
      <c r="G25" s="120">
        <f>SUMIFS('Unos prihoda i primitaka'!$G$3:$G$502,'Unos prihoda i primitaka'!$C$3:$C$502,"=41",'Unos prihoda i primitaka'!$L$3:$L$502,"=67")</f>
        <v>0</v>
      </c>
      <c r="H25" s="120">
        <f>SUMIFS('Unos prihoda i primitaka'!$G$3:$G$502,'Unos prihoda i primitaka'!$C$3:$C$502,"=43",'Unos prihoda i primitaka'!$L$3:$L$502,"=67")</f>
        <v>0</v>
      </c>
      <c r="I25" s="120">
        <f>SUMIFS('Unos prihoda i primitaka'!$G$3:$G$502,'Unos prihoda i primitaka'!$C$3:$C$502,"=51",'Unos prihoda i primitaka'!$L$3:$L$502,"=67")</f>
        <v>0</v>
      </c>
      <c r="J25" s="120">
        <f>SUMIFS('Unos prihoda i primitaka'!$G$3:$G$502,'Unos prihoda i primitaka'!$C$3:$C$502,"=52",'Unos prihoda i primitaka'!$L$3:$L$502,"=67")</f>
        <v>0</v>
      </c>
      <c r="K25" s="120">
        <f>SUMIFS('Unos prihoda i primitaka'!$G$3:$G$502,'Unos prihoda i primitaka'!$C$3:$C$502,"=552",'Unos prihoda i primitaka'!$L$3:$L$502,"=67")</f>
        <v>0</v>
      </c>
      <c r="L25" s="120">
        <f>SUMIFS('Unos prihoda i primitaka'!$G$3:$G$502,'Unos prihoda i primitaka'!$C$3:$C$502,"=559",'Unos prihoda i primitaka'!$L$3:$L$502,"=67")</f>
        <v>0</v>
      </c>
      <c r="M25" s="120">
        <f>SUMIFS('Unos prihoda i primitaka'!$G$3:$G$502,'Unos prihoda i primitaka'!$C$3:$C$502,"=561",'Unos prihoda i primitaka'!$L$3:$L$502,"=67")</f>
        <v>0</v>
      </c>
      <c r="N25" s="120">
        <f>SUMIFS('Unos prihoda i primitaka'!$G$3:$G$502,'Unos prihoda i primitaka'!$C$3:$C$502,"=563",'Unos prihoda i primitaka'!$L$3:$L$502,"=67")</f>
        <v>0</v>
      </c>
      <c r="O25" s="120">
        <f>SUMIFS('Unos prihoda i primitaka'!$G$3:$G$502,'Unos prihoda i primitaka'!$C$3:$C$502,"=573",'Unos prihoda i primitaka'!$L$3:$L$502,"=67")</f>
        <v>0</v>
      </c>
      <c r="P25" s="120">
        <f>SUMIFS('Unos prihoda i primitaka'!$G$3:$G$502,'Unos prihoda i primitaka'!$C$3:$C$502,"=575",'Unos prihoda i primitaka'!$L$3:$L$502,"=67")</f>
        <v>0</v>
      </c>
      <c r="Q25" s="120">
        <f>SUMIFS('Unos prihoda i primitaka'!$G$3:$G$502,'Unos prihoda i primitaka'!$C$3:$C$502,"=576",'Unos prihoda i primitaka'!$L$3:$L$502,"=67")</f>
        <v>0</v>
      </c>
      <c r="R25" s="120">
        <f>SUMIFS('Unos prihoda i primitaka'!$G$3:$G$502,'Unos prihoda i primitaka'!$C$3:$C$502,"=581",'Unos prihoda i primitaka'!$L$3:$L$502,"=67")</f>
        <v>0</v>
      </c>
      <c r="S25" s="120">
        <f>SUMIFS('Unos prihoda i primitaka'!$G$3:$G$502,'Unos prihoda i primitaka'!$C$3:$C$502,"=61",'Unos prihoda i primitaka'!$L$3:$L$502,"=67")</f>
        <v>0</v>
      </c>
      <c r="T25" s="120">
        <f>SUMIFS('Unos prihoda i primitaka'!$G$3:$G$502,'Unos prihoda i primitaka'!$C$3:$C$502,"=63",'Unos prihoda i primitaka'!$L$3:$L$502,"=67")</f>
        <v>0</v>
      </c>
      <c r="U25" s="120">
        <f>SUMIFS('Unos prihoda i primitaka'!$G$3:$G$502,'Unos prihoda i primitaka'!$C$3:$C$502,"=71",'Unos prihoda i primitaka'!$L$3:$L$502,"=67")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primitaka'!$G$3:$G$502,'Unos prihoda i primitaka'!$C$3:$C$502,"=11",'Unos prihoda i primitaka'!$L$3:$L$502,"=68")</f>
        <v>0</v>
      </c>
      <c r="E26" s="120">
        <f>SUMIFS('Unos prihoda i primitaka'!$G$3:$G$502,'Unos prihoda i primitaka'!$C$3:$C$502,"=12",'Unos prihoda i primitaka'!$L$3:$L$502,"=68")</f>
        <v>0</v>
      </c>
      <c r="F26" s="120">
        <f>SUMIFS('Unos prihoda i primitaka'!$G$3:$G$502,'Unos prihoda i primitaka'!$C$3:$C$502,"=31",'Unos prihoda i primitaka'!$L$3:$L$502,"=68")</f>
        <v>0</v>
      </c>
      <c r="G26" s="120">
        <f>SUMIFS('Unos prihoda i primitaka'!$G$3:$G$502,'Unos prihoda i primitaka'!$C$3:$C$502,"=41",'Unos prihoda i primitaka'!$L$3:$L$502,"=68")</f>
        <v>0</v>
      </c>
      <c r="H26" s="120">
        <f>SUMIFS('Unos prihoda i primitaka'!$G$3:$G$502,'Unos prihoda i primitaka'!$C$3:$C$502,"=43",'Unos prihoda i primitaka'!$L$3:$L$502,"=68")</f>
        <v>0</v>
      </c>
      <c r="I26" s="120">
        <f>SUMIFS('Unos prihoda i primitaka'!$G$3:$G$502,'Unos prihoda i primitaka'!$C$3:$C$502,"=51",'Unos prihoda i primitaka'!$L$3:$L$502,"=68")</f>
        <v>0</v>
      </c>
      <c r="J26" s="120">
        <f>SUMIFS('Unos prihoda i primitaka'!$G$3:$G$502,'Unos prihoda i primitaka'!$C$3:$C$502,"=52",'Unos prihoda i primitaka'!$L$3:$L$502,"=68")</f>
        <v>0</v>
      </c>
      <c r="K26" s="120">
        <f>SUMIFS('Unos prihoda i primitaka'!$G$3:$G$502,'Unos prihoda i primitaka'!$C$3:$C$502,"=552",'Unos prihoda i primitaka'!$L$3:$L$502,"=68")</f>
        <v>0</v>
      </c>
      <c r="L26" s="120">
        <f>SUMIFS('Unos prihoda i primitaka'!$G$3:$G$502,'Unos prihoda i primitaka'!$C$3:$C$502,"=559",'Unos prihoda i primitaka'!$L$3:$L$502,"=68")</f>
        <v>0</v>
      </c>
      <c r="M26" s="120">
        <f>SUMIFS('Unos prihoda i primitaka'!$G$3:$G$502,'Unos prihoda i primitaka'!$C$3:$C$502,"=561",'Unos prihoda i primitaka'!$L$3:$L$502,"=68")</f>
        <v>0</v>
      </c>
      <c r="N26" s="120">
        <f>SUMIFS('Unos prihoda i primitaka'!$G$3:$G$502,'Unos prihoda i primitaka'!$C$3:$C$502,"=563",'Unos prihoda i primitaka'!$L$3:$L$502,"=68")</f>
        <v>0</v>
      </c>
      <c r="O26" s="120">
        <f>SUMIFS('Unos prihoda i primitaka'!$G$3:$G$502,'Unos prihoda i primitaka'!$C$3:$C$502,"=573",'Unos prihoda i primitaka'!$L$3:$L$502,"=68")</f>
        <v>0</v>
      </c>
      <c r="P26" s="120">
        <f>SUMIFS('Unos prihoda i primitaka'!$G$3:$G$502,'Unos prihoda i primitaka'!$C$3:$C$502,"=575",'Unos prihoda i primitaka'!$L$3:$L$502,"=68")</f>
        <v>0</v>
      </c>
      <c r="Q26" s="120">
        <f>SUMIFS('Unos prihoda i primitaka'!$G$3:$G$502,'Unos prihoda i primitaka'!$C$3:$C$502,"=576",'Unos prihoda i primitaka'!$L$3:$L$502,"=68")</f>
        <v>0</v>
      </c>
      <c r="R26" s="120">
        <f>SUMIFS('Unos prihoda i primitaka'!$G$3:$G$502,'Unos prihoda i primitaka'!$C$3:$C$502,"=581",'Unos prihoda i primitaka'!$L$3:$L$502,"=68")</f>
        <v>0</v>
      </c>
      <c r="S26" s="120">
        <f>SUMIFS('Unos prihoda i primitaka'!$G$3:$G$502,'Unos prihoda i primitaka'!$C$3:$C$502,"=61",'Unos prihoda i primitaka'!$L$3:$L$502,"=68")</f>
        <v>0</v>
      </c>
      <c r="T26" s="120">
        <f>SUMIFS('Unos prihoda i primitaka'!$G$3:$G$502,'Unos prihoda i primitaka'!$C$3:$C$502,"=63",'Unos prihoda i primitaka'!$L$3:$L$502,"=68")</f>
        <v>0</v>
      </c>
      <c r="U26" s="120">
        <f>SUMIFS('Unos prihoda i primitaka'!$G$3:$G$502,'Unos prihoda i primitaka'!$C$3:$C$502,"=71",'Unos prihoda i primitaka'!$L$3:$L$502,"=68")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748313</v>
      </c>
      <c r="D27" s="3">
        <f t="shared" ref="D27:U27" si="2">SUM(D9:D26)</f>
        <v>675664</v>
      </c>
      <c r="E27" s="3">
        <f t="shared" si="2"/>
        <v>0</v>
      </c>
      <c r="F27" s="3">
        <f t="shared" si="2"/>
        <v>217</v>
      </c>
      <c r="G27" s="3">
        <f t="shared" si="2"/>
        <v>0</v>
      </c>
      <c r="H27" s="3">
        <f t="shared" si="2"/>
        <v>44734</v>
      </c>
      <c r="I27" s="3">
        <f t="shared" si="2"/>
        <v>0</v>
      </c>
      <c r="J27" s="3">
        <f t="shared" si="2"/>
        <v>27698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primitaka'!$G$3:$G$502,'Unos prihoda i primitaka'!$C$3:$C$502,"=11",'Unos prihoda i primitaka'!$L$3:$L$502,"=71")</f>
        <v>0</v>
      </c>
      <c r="E28" s="120">
        <f>SUMIFS('Unos prihoda i primitaka'!$G$3:$G$502,'Unos prihoda i primitaka'!$C$3:$C$502,"=12",'Unos prihoda i primitaka'!$L$3:$L$502,"=71")</f>
        <v>0</v>
      </c>
      <c r="F28" s="120">
        <f>SUMIFS('Unos prihoda i primitaka'!$G$3:$G$502,'Unos prihoda i primitaka'!$C$3:$C$502,"=31",'Unos prihoda i primitaka'!$L$3:$L$502,"=71")</f>
        <v>0</v>
      </c>
      <c r="G28" s="120">
        <f>SUMIFS('Unos prihoda i primitaka'!$G$3:$G$502,'Unos prihoda i primitaka'!$C$3:$C$502,"=41",'Unos prihoda i primitaka'!$L$3:$L$502,"=71")</f>
        <v>0</v>
      </c>
      <c r="H28" s="120">
        <f>SUMIFS('Unos prihoda i primitaka'!$G$3:$G$502,'Unos prihoda i primitaka'!$C$3:$C$502,"=43",'Unos prihoda i primitaka'!$L$3:$L$502,"=71")</f>
        <v>0</v>
      </c>
      <c r="I28" s="120">
        <f>SUMIFS('Unos prihoda i primitaka'!$G$3:$G$502,'Unos prihoda i primitaka'!$C$3:$C$502,"=51",'Unos prihoda i primitaka'!$L$3:$L$502,"=71")</f>
        <v>0</v>
      </c>
      <c r="J28" s="120">
        <f>SUMIFS('Unos prihoda i primitaka'!$G$3:$G$502,'Unos prihoda i primitaka'!$C$3:$C$502,"=52",'Unos prihoda i primitaka'!$L$3:$L$502,"=71")</f>
        <v>0</v>
      </c>
      <c r="K28" s="120">
        <f>SUMIFS('Unos prihoda i primitaka'!$G$3:$G$502,'Unos prihoda i primitaka'!$C$3:$C$502,"=552",'Unos prihoda i primitaka'!$L$3:$L$502,"=71")</f>
        <v>0</v>
      </c>
      <c r="L28" s="120">
        <f>SUMIFS('Unos prihoda i primitaka'!$G$3:$G$502,'Unos prihoda i primitaka'!$C$3:$C$502,"=559",'Unos prihoda i primitaka'!$L$3:$L$502,"=71")</f>
        <v>0</v>
      </c>
      <c r="M28" s="120">
        <f>SUMIFS('Unos prihoda i primitaka'!$G$3:$G$502,'Unos prihoda i primitaka'!$C$3:$C$502,"=561",'Unos prihoda i primitaka'!$L$3:$L$502,"=71")</f>
        <v>0</v>
      </c>
      <c r="N28" s="120">
        <f>SUMIFS('Unos prihoda i primitaka'!$G$3:$G$502,'Unos prihoda i primitaka'!$C$3:$C$502,"=563",'Unos prihoda i primitaka'!$L$3:$L$502,"=71")</f>
        <v>0</v>
      </c>
      <c r="O28" s="120">
        <f>SUMIFS('Unos prihoda i primitaka'!$G$3:$G$502,'Unos prihoda i primitaka'!$C$3:$C$502,"=573",'Unos prihoda i primitaka'!$L$3:$L$502,"=71")</f>
        <v>0</v>
      </c>
      <c r="P28" s="120">
        <f>SUMIFS('Unos prihoda i primitaka'!$G$3:$G$502,'Unos prihoda i primitaka'!$C$3:$C$502,"=575",'Unos prihoda i primitaka'!$L$3:$L$502,"=71")</f>
        <v>0</v>
      </c>
      <c r="Q28" s="120">
        <f>SUMIFS('Unos prihoda i primitaka'!$G$3:$G$502,'Unos prihoda i primitaka'!$C$3:$C$502,"=576",'Unos prihoda i primitaka'!$L$3:$L$502,"=71")</f>
        <v>0</v>
      </c>
      <c r="R28" s="120">
        <f>SUMIFS('Unos prihoda i primitaka'!$G$3:$G$502,'Unos prihoda i primitaka'!$C$3:$C$502,"=581",'Unos prihoda i primitaka'!$L$3:$L$502,"=71")</f>
        <v>0</v>
      </c>
      <c r="S28" s="120">
        <f>SUMIFS('Unos prihoda i primitaka'!$G$3:$G$502,'Unos prihoda i primitaka'!$C$3:$C$502,"=61",'Unos prihoda i primitaka'!$L$3:$L$502,"=71")</f>
        <v>0</v>
      </c>
      <c r="T28" s="120">
        <f>SUMIFS('Unos prihoda i primitaka'!$G$3:$G$502,'Unos prihoda i primitaka'!$C$3:$C$502,"=63",'Unos prihoda i primitaka'!$L$3:$L$502,"=71")</f>
        <v>0</v>
      </c>
      <c r="U28" s="120">
        <f>SUMIFS('Unos prihoda i primitaka'!$G$3:$G$502,'Unos prihoda i primitaka'!$C$3:$C$502,"=71",'Unos prihoda i primitaka'!$L$3:$L$502,"=71")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primitaka'!$G$3:$G$502,'Unos prihoda i primitaka'!$C$3:$C$502,"=11",'Unos prihoda i primitaka'!$L$3:$L$502,"=72")</f>
        <v>0</v>
      </c>
      <c r="E29" s="120">
        <f>SUMIFS('Unos prihoda i primitaka'!$G$3:$G$502,'Unos prihoda i primitaka'!$C$3:$C$502,"=12",'Unos prihoda i primitaka'!$L$3:$L$502,"=72")</f>
        <v>0</v>
      </c>
      <c r="F29" s="120">
        <f>SUMIFS('Unos prihoda i primitaka'!$G$3:$G$502,'Unos prihoda i primitaka'!$C$3:$C$502,"=31",'Unos prihoda i primitaka'!$L$3:$L$502,"=72")</f>
        <v>0</v>
      </c>
      <c r="G29" s="120">
        <f>SUMIFS('Unos prihoda i primitaka'!$G$3:$G$502,'Unos prihoda i primitaka'!$C$3:$C$502,"=41",'Unos prihoda i primitaka'!$L$3:$L$502,"=72")</f>
        <v>0</v>
      </c>
      <c r="H29" s="120">
        <f>SUMIFS('Unos prihoda i primitaka'!$G$3:$G$502,'Unos prihoda i primitaka'!$C$3:$C$502,"=43",'Unos prihoda i primitaka'!$L$3:$L$502,"=72")</f>
        <v>0</v>
      </c>
      <c r="I29" s="120">
        <f>SUMIFS('Unos prihoda i primitaka'!$G$3:$G$502,'Unos prihoda i primitaka'!$C$3:$C$502,"=51",'Unos prihoda i primitaka'!$L$3:$L$502,"=72")</f>
        <v>0</v>
      </c>
      <c r="J29" s="120">
        <f>SUMIFS('Unos prihoda i primitaka'!$G$3:$G$502,'Unos prihoda i primitaka'!$C$3:$C$502,"=52",'Unos prihoda i primitaka'!$L$3:$L$502,"=72")</f>
        <v>0</v>
      </c>
      <c r="K29" s="120">
        <f>SUMIFS('Unos prihoda i primitaka'!$G$3:$G$502,'Unos prihoda i primitaka'!$C$3:$C$502,"=552",'Unos prihoda i primitaka'!$L$3:$L$502,"=72")</f>
        <v>0</v>
      </c>
      <c r="L29" s="120">
        <f>SUMIFS('Unos prihoda i primitaka'!$G$3:$G$502,'Unos prihoda i primitaka'!$C$3:$C$502,"=559",'Unos prihoda i primitaka'!$L$3:$L$502,"=72")</f>
        <v>0</v>
      </c>
      <c r="M29" s="120">
        <f>SUMIFS('Unos prihoda i primitaka'!$G$3:$G$502,'Unos prihoda i primitaka'!$C$3:$C$502,"=561",'Unos prihoda i primitaka'!$L$3:$L$502,"=72")</f>
        <v>0</v>
      </c>
      <c r="N29" s="120">
        <f>SUMIFS('Unos prihoda i primitaka'!$G$3:$G$502,'Unos prihoda i primitaka'!$C$3:$C$502,"=563",'Unos prihoda i primitaka'!$L$3:$L$502,"=72")</f>
        <v>0</v>
      </c>
      <c r="O29" s="120">
        <f>SUMIFS('Unos prihoda i primitaka'!$G$3:$G$502,'Unos prihoda i primitaka'!$C$3:$C$502,"=573",'Unos prihoda i primitaka'!$L$3:$L$502,"=72")</f>
        <v>0</v>
      </c>
      <c r="P29" s="120">
        <f>SUMIFS('Unos prihoda i primitaka'!$G$3:$G$502,'Unos prihoda i primitaka'!$C$3:$C$502,"=575",'Unos prihoda i primitaka'!$L$3:$L$502,"=72")</f>
        <v>0</v>
      </c>
      <c r="Q29" s="120">
        <f>SUMIFS('Unos prihoda i primitaka'!$G$3:$G$502,'Unos prihoda i primitaka'!$C$3:$C$502,"=576",'Unos prihoda i primitaka'!$L$3:$L$502,"=72")</f>
        <v>0</v>
      </c>
      <c r="R29" s="120">
        <f>SUMIFS('Unos prihoda i primitaka'!$G$3:$G$502,'Unos prihoda i primitaka'!$C$3:$C$502,"=581",'Unos prihoda i primitaka'!$L$3:$L$502,"=72")</f>
        <v>0</v>
      </c>
      <c r="S29" s="120">
        <f>SUMIFS('Unos prihoda i primitaka'!$G$3:$G$502,'Unos prihoda i primitaka'!$C$3:$C$502,"=61",'Unos prihoda i primitaka'!$L$3:$L$502,"=72")</f>
        <v>0</v>
      </c>
      <c r="T29" s="120">
        <f>SUMIFS('Unos prihoda i primitaka'!$G$3:$G$502,'Unos prihoda i primitaka'!$C$3:$C$502,"=63",'Unos prihoda i primitaka'!$L$3:$L$502,"=72")</f>
        <v>0</v>
      </c>
      <c r="U29" s="120">
        <f>SUMIFS('Unos prihoda i primitaka'!$G$3:$G$502,'Unos prihoda i primitaka'!$C$3:$C$502,"=71",'Unos prihoda i primitaka'!$L$3:$L$502,"=72")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5266</v>
      </c>
      <c r="C33" s="60">
        <f>SUM(D33:U33)</f>
        <v>85429</v>
      </c>
      <c r="D33" s="60">
        <f t="shared" ref="D33:U33" si="4">+D44+D41</f>
        <v>-68014</v>
      </c>
      <c r="E33" s="60">
        <f t="shared" si="4"/>
        <v>0</v>
      </c>
      <c r="F33" s="60">
        <f t="shared" si="4"/>
        <v>35450</v>
      </c>
      <c r="G33" s="60">
        <f t="shared" si="4"/>
        <v>0</v>
      </c>
      <c r="H33" s="60">
        <f t="shared" si="4"/>
        <v>87293</v>
      </c>
      <c r="I33" s="60">
        <f t="shared" si="4"/>
        <v>0</v>
      </c>
      <c r="J33" s="60">
        <f t="shared" si="4"/>
        <v>30700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primitaka'!$H$3:$H$502,'Unos prihoda i primitaka'!$C$3:$C$502,"=11",'Unos prihoda i primitaka'!$L$3:$L$502,"=61")</f>
        <v>0</v>
      </c>
      <c r="E34" s="120">
        <f>SUMIFS('Unos prihoda i primitaka'!$H$3:$H$502,'Unos prihoda i primitaka'!$C$3:$C$502,"=12",'Unos prihoda i primitaka'!$L$3:$L$502,"=61")</f>
        <v>0</v>
      </c>
      <c r="F34" s="120">
        <f>SUMIFS('Unos prihoda i primitaka'!$H$3:$H$502,'Unos prihoda i primitaka'!$C$3:$C$502,"=31",'Unos prihoda i primitaka'!$L$3:$L$502,"=61")</f>
        <v>0</v>
      </c>
      <c r="G34" s="120">
        <f>SUMIFS('Unos prihoda i primitaka'!$H$3:$H$502,'Unos prihoda i primitaka'!$C$3:$C$502,"=41",'Unos prihoda i primitaka'!$L$3:$L$502,"=61")</f>
        <v>0</v>
      </c>
      <c r="H34" s="120">
        <f>SUMIFS('Unos prihoda i primitaka'!$H$3:$H$502,'Unos prihoda i primitaka'!$C$3:$C$502,"=43",'Unos prihoda i primitaka'!$L$3:$L$502,"=61")</f>
        <v>0</v>
      </c>
      <c r="I34" s="120">
        <f>SUMIFS('Unos prihoda i primitaka'!$H$3:$H$502,'Unos prihoda i primitaka'!$C$3:$C$502,"=51",'Unos prihoda i primitaka'!$L$3:$L$502,"=61")</f>
        <v>0</v>
      </c>
      <c r="J34" s="120">
        <f>SUMIFS('Unos prihoda i primitaka'!$H$3:$H$502,'Unos prihoda i primitaka'!$C$3:$C$502,"=52",'Unos prihoda i primitaka'!$L$3:$L$502,"=61")</f>
        <v>0</v>
      </c>
      <c r="K34" s="120">
        <f>SUMIFS('Unos prihoda i primitaka'!$H$3:$H$502,'Unos prihoda i primitaka'!$C$3:$C$502,"=552",'Unos prihoda i primitaka'!$L$3:$L$502,"=61")</f>
        <v>0</v>
      </c>
      <c r="L34" s="120">
        <f>SUMIFS('Unos prihoda i primitaka'!$H$3:$H$502,'Unos prihoda i primitaka'!$C$3:$C$502,"=559",'Unos prihoda i primitaka'!$L$3:$L$502,"=61")</f>
        <v>0</v>
      </c>
      <c r="M34" s="120">
        <f>SUMIFS('Unos prihoda i primitaka'!$H$3:$H$502,'Unos prihoda i primitaka'!$C$3:$C$502,"=561",'Unos prihoda i primitaka'!$L$3:$L$502,"=61")</f>
        <v>0</v>
      </c>
      <c r="N34" s="120">
        <f>SUMIFS('Unos prihoda i primitaka'!$H$3:$H$502,'Unos prihoda i primitaka'!$C$3:$C$502,"=563",'Unos prihoda i primitaka'!$L$3:$L$502,"=61")</f>
        <v>0</v>
      </c>
      <c r="O34" s="120">
        <f>SUMIFS('Unos prihoda i primitaka'!$H$3:$H$502,'Unos prihoda i primitaka'!$C$3:$C$502,"=573",'Unos prihoda i primitaka'!$L$3:$L$502,"=61")</f>
        <v>0</v>
      </c>
      <c r="P34" s="120">
        <f>SUMIFS('Unos prihoda i primitaka'!$H$3:$H$502,'Unos prihoda i primitaka'!$C$3:$C$502,"=575",'Unos prihoda i primitaka'!$L$3:$L$502,"=61")</f>
        <v>0</v>
      </c>
      <c r="Q34" s="120">
        <f>SUMIFS('Unos prihoda i primitaka'!$H$3:$H$502,'Unos prihoda i primitaka'!$C$3:$C$502,"=576",'Unos prihoda i primitaka'!$L$3:$L$502,"=61")</f>
        <v>0</v>
      </c>
      <c r="R34" s="120">
        <f>SUMIFS('Unos prihoda i primitaka'!$H$3:$H$502,'Unos prihoda i primitaka'!$C$3:$C$502,"=581",'Unos prihoda i primitaka'!$L$3:$L$502,"=61")</f>
        <v>0</v>
      </c>
      <c r="S34" s="120">
        <f>SUMIFS('Unos prihoda i primitaka'!$H$3:$H$502,'Unos prihoda i primitaka'!$C$3:$C$502,"=61",'Unos prihoda i primitaka'!$L$3:$L$502,"=61")</f>
        <v>0</v>
      </c>
      <c r="T34" s="120">
        <f>SUMIFS('Unos prihoda i primitaka'!$H$3:$H$502,'Unos prihoda i primitaka'!$C$3:$C$502,"=63",'Unos prihoda i primitaka'!$L$3:$L$502,"=61")</f>
        <v>0</v>
      </c>
      <c r="U34" s="120">
        <f>SUMIFS('Unos prihoda i primitaka'!$H$3:$H$502,'Unos prihoda i primitaka'!$C$3:$C$502,"=71",'Unos prihoda i primitaka'!$L$3:$L$502,"=61")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30700</v>
      </c>
      <c r="D35" s="120">
        <f>SUMIFS('Unos prihoda i primitaka'!$H$3:$H$502,'Unos prihoda i primitaka'!$C$3:$C$502,"=11",'Unos prihoda i primitaka'!$L$3:$L$502,"=63")</f>
        <v>0</v>
      </c>
      <c r="E35" s="120">
        <f>SUMIFS('Unos prihoda i primitaka'!$H$3:$H$502,'Unos prihoda i primitaka'!$C$3:$C$502,"=12",'Unos prihoda i primitaka'!$L$3:$L$502,"=63")</f>
        <v>0</v>
      </c>
      <c r="F35" s="120">
        <f>SUMIFS('Unos prihoda i primitaka'!$H$3:$H$502,'Unos prihoda i primitaka'!$C$3:$C$502,"=31",'Unos prihoda i primitaka'!$L$3:$L$502,"=63")</f>
        <v>0</v>
      </c>
      <c r="G35" s="120">
        <f>SUMIFS('Unos prihoda i primitaka'!$H$3:$H$502,'Unos prihoda i primitaka'!$C$3:$C$502,"=41",'Unos prihoda i primitaka'!$L$3:$L$502,"=63")</f>
        <v>0</v>
      </c>
      <c r="H35" s="120">
        <f>SUMIFS('Unos prihoda i primitaka'!$H$3:$H$502,'Unos prihoda i primitaka'!$C$3:$C$502,"=43",'Unos prihoda i primitaka'!$L$3:$L$502,"=63")</f>
        <v>0</v>
      </c>
      <c r="I35" s="120">
        <f>SUMIFS('Unos prihoda i primitaka'!$H$3:$H$502,'Unos prihoda i primitaka'!$C$3:$C$502,"=51",'Unos prihoda i primitaka'!$L$3:$L$502,"=63")</f>
        <v>0</v>
      </c>
      <c r="J35" s="120">
        <f>SUMIFS('Unos prihoda i primitaka'!$H$3:$H$502,'Unos prihoda i primitaka'!$C$3:$C$502,"=52",'Unos prihoda i primitaka'!$L$3:$L$502,"=63")</f>
        <v>30700</v>
      </c>
      <c r="K35" s="120">
        <f>SUMIFS('Unos prihoda i primitaka'!$H$3:$H$502,'Unos prihoda i primitaka'!$C$3:$C$502,"=552",'Unos prihoda i primitaka'!$L$3:$L$502,"=63")</f>
        <v>0</v>
      </c>
      <c r="L35" s="120">
        <f>SUMIFS('Unos prihoda i primitaka'!$H$3:$H$502,'Unos prihoda i primitaka'!$C$3:$C$502,"=559",'Unos prihoda i primitaka'!$L$3:$L$502,"=63")</f>
        <v>0</v>
      </c>
      <c r="M35" s="120">
        <f>SUMIFS('Unos prihoda i primitaka'!$H$3:$H$502,'Unos prihoda i primitaka'!$C$3:$C$502,"=561",'Unos prihoda i primitaka'!$L$3:$L$502,"=63")</f>
        <v>0</v>
      </c>
      <c r="N35" s="120">
        <f>SUMIFS('Unos prihoda i primitaka'!$H$3:$H$502,'Unos prihoda i primitaka'!$C$3:$C$502,"=563",'Unos prihoda i primitaka'!$L$3:$L$502,"=63")</f>
        <v>0</v>
      </c>
      <c r="O35" s="120">
        <f>SUMIFS('Unos prihoda i primitaka'!$H$3:$H$502,'Unos prihoda i primitaka'!$C$3:$C$502,"=573",'Unos prihoda i primitaka'!$L$3:$L$502,"=63")</f>
        <v>0</v>
      </c>
      <c r="P35" s="120">
        <f>SUMIFS('Unos prihoda i primitaka'!$H$3:$H$502,'Unos prihoda i primitaka'!$C$3:$C$502,"=575",'Unos prihoda i primitaka'!$L$3:$L$502,"=63")</f>
        <v>0</v>
      </c>
      <c r="Q35" s="120">
        <f>SUMIFS('Unos prihoda i primitaka'!$H$3:$H$502,'Unos prihoda i primitaka'!$C$3:$C$502,"=576",'Unos prihoda i primitaka'!$L$3:$L$502,"=63")</f>
        <v>0</v>
      </c>
      <c r="R35" s="120">
        <f>SUMIFS('Unos prihoda i primitaka'!$H$3:$H$502,'Unos prihoda i primitaka'!$C$3:$C$502,"=581",'Unos prihoda i primitaka'!$L$3:$L$502,"=63")</f>
        <v>0</v>
      </c>
      <c r="S35" s="120">
        <f>SUMIFS('Unos prihoda i primitaka'!$H$3:$H$502,'Unos prihoda i primitaka'!$C$3:$C$502,"=61",'Unos prihoda i primitaka'!$L$3:$L$502,"=63")</f>
        <v>0</v>
      </c>
      <c r="T35" s="120">
        <f>SUMIFS('Unos prihoda i primitaka'!$H$3:$H$502,'Unos prihoda i primitaka'!$C$3:$C$502,"=63",'Unos prihoda i primitaka'!$L$3:$L$502,"=63")</f>
        <v>0</v>
      </c>
      <c r="U35" s="120">
        <f>SUMIFS('Unos prihoda i primitaka'!$H$3:$H$502,'Unos prihoda i primitaka'!$C$3:$C$502,"=71",'Unos prihoda i primitaka'!$L$3:$L$502,"=63")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primitaka'!$H$3:$H$502,'Unos prihoda i primitaka'!$C$3:$C$502,"=11",'Unos prihoda i primitaka'!$L$3:$L$502,"=64")</f>
        <v>0</v>
      </c>
      <c r="E36" s="120">
        <f>SUMIFS('Unos prihoda i primitaka'!$H$3:$H$502,'Unos prihoda i primitaka'!$C$3:$C$502,"=12",'Unos prihoda i primitaka'!$L$3:$L$502,"=64")</f>
        <v>0</v>
      </c>
      <c r="F36" s="120">
        <f>SUMIFS('Unos prihoda i primitaka'!$H$3:$H$502,'Unos prihoda i primitaka'!$C$3:$C$502,"=31",'Unos prihoda i primitaka'!$L$3:$L$502,"=64")</f>
        <v>0</v>
      </c>
      <c r="G36" s="120">
        <f>SUMIFS('Unos prihoda i primitaka'!$H$3:$H$502,'Unos prihoda i primitaka'!$C$3:$C$502,"=41",'Unos prihoda i primitaka'!$L$3:$L$502,"=64")</f>
        <v>0</v>
      </c>
      <c r="H36" s="120">
        <f>SUMIFS('Unos prihoda i primitaka'!$H$3:$H$502,'Unos prihoda i primitaka'!$C$3:$C$502,"=43",'Unos prihoda i primitaka'!$L$3:$L$502,"=64")</f>
        <v>0</v>
      </c>
      <c r="I36" s="120">
        <f>SUMIFS('Unos prihoda i primitaka'!$H$3:$H$502,'Unos prihoda i primitaka'!$C$3:$C$502,"=51",'Unos prihoda i primitaka'!$L$3:$L$502,"=64")</f>
        <v>0</v>
      </c>
      <c r="J36" s="120">
        <f>SUMIFS('Unos prihoda i primitaka'!$H$3:$H$502,'Unos prihoda i primitaka'!$C$3:$C$502,"=52",'Unos prihoda i primitaka'!$L$3:$L$502,"=64")</f>
        <v>0</v>
      </c>
      <c r="K36" s="120">
        <f>SUMIFS('Unos prihoda i primitaka'!$H$3:$H$502,'Unos prihoda i primitaka'!$C$3:$C$502,"=552",'Unos prihoda i primitaka'!$L$3:$L$502,"=64")</f>
        <v>0</v>
      </c>
      <c r="L36" s="120">
        <f>SUMIFS('Unos prihoda i primitaka'!$H$3:$H$502,'Unos prihoda i primitaka'!$C$3:$C$502,"=559",'Unos prihoda i primitaka'!$L$3:$L$502,"=64")</f>
        <v>0</v>
      </c>
      <c r="M36" s="120">
        <f>SUMIFS('Unos prihoda i primitaka'!$H$3:$H$502,'Unos prihoda i primitaka'!$C$3:$C$502,"=561",'Unos prihoda i primitaka'!$L$3:$L$502,"=64")</f>
        <v>0</v>
      </c>
      <c r="N36" s="120">
        <f>SUMIFS('Unos prihoda i primitaka'!$H$3:$H$502,'Unos prihoda i primitaka'!$C$3:$C$502,"=563",'Unos prihoda i primitaka'!$L$3:$L$502,"=64")</f>
        <v>0</v>
      </c>
      <c r="O36" s="120">
        <f>SUMIFS('Unos prihoda i primitaka'!$H$3:$H$502,'Unos prihoda i primitaka'!$C$3:$C$502,"=573",'Unos prihoda i primitaka'!$L$3:$L$502,"=64")</f>
        <v>0</v>
      </c>
      <c r="P36" s="120">
        <f>SUMIFS('Unos prihoda i primitaka'!$H$3:$H$502,'Unos prihoda i primitaka'!$C$3:$C$502,"=575",'Unos prihoda i primitaka'!$L$3:$L$502,"=64")</f>
        <v>0</v>
      </c>
      <c r="Q36" s="120">
        <f>SUMIFS('Unos prihoda i primitaka'!$H$3:$H$502,'Unos prihoda i primitaka'!$C$3:$C$502,"=576",'Unos prihoda i primitaka'!$L$3:$L$502,"=64")</f>
        <v>0</v>
      </c>
      <c r="R36" s="120">
        <f>SUMIFS('Unos prihoda i primitaka'!$H$3:$H$502,'Unos prihoda i primitaka'!$C$3:$C$502,"=581",'Unos prihoda i primitaka'!$L$3:$L$502,"=64")</f>
        <v>0</v>
      </c>
      <c r="S36" s="120">
        <f>SUMIFS('Unos prihoda i primitaka'!$H$3:$H$502,'Unos prihoda i primitaka'!$C$3:$C$502,"=61",'Unos prihoda i primitaka'!$L$3:$L$502,"=64")</f>
        <v>0</v>
      </c>
      <c r="T36" s="120">
        <f>SUMIFS('Unos prihoda i primitaka'!$H$3:$H$502,'Unos prihoda i primitaka'!$C$3:$C$502,"=63",'Unos prihoda i primitaka'!$L$3:$L$502,"=64")</f>
        <v>0</v>
      </c>
      <c r="U36" s="120">
        <f>SUMIFS('Unos prihoda i primitaka'!$H$3:$H$502,'Unos prihoda i primitaka'!$C$3:$C$502,"=71",'Unos prihoda i primitaka'!$L$3:$L$502,"=64")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87278</v>
      </c>
      <c r="D37" s="120">
        <f>SUMIFS('Unos prihoda i primitaka'!$H$3:$H$502,'Unos prihoda i primitaka'!$C$3:$C$502,"=11",'Unos prihoda i primitaka'!$L$3:$L$502,"=65")</f>
        <v>0</v>
      </c>
      <c r="E37" s="120">
        <f>SUMIFS('Unos prihoda i primitaka'!$H$3:$H$502,'Unos prihoda i primitaka'!$C$3:$C$502,"=12",'Unos prihoda i primitaka'!$L$3:$L$502,"=65")</f>
        <v>0</v>
      </c>
      <c r="F37" s="120">
        <f>SUMIFS('Unos prihoda i primitaka'!$H$3:$H$502,'Unos prihoda i primitaka'!$C$3:$C$502,"=31",'Unos prihoda i primitaka'!$L$3:$L$502,"=65")</f>
        <v>0</v>
      </c>
      <c r="G37" s="120">
        <f>SUMIFS('Unos prihoda i primitaka'!$H$3:$H$502,'Unos prihoda i primitaka'!$C$3:$C$502,"=41",'Unos prihoda i primitaka'!$L$3:$L$502,"=65")</f>
        <v>0</v>
      </c>
      <c r="H37" s="120">
        <f>SUMIFS('Unos prihoda i primitaka'!$H$3:$H$502,'Unos prihoda i primitaka'!$C$3:$C$502,"=43",'Unos prihoda i primitaka'!$L$3:$L$502,"=65")</f>
        <v>87278</v>
      </c>
      <c r="I37" s="120">
        <f>SUMIFS('Unos prihoda i primitaka'!$H$3:$H$502,'Unos prihoda i primitaka'!$C$3:$C$502,"=51",'Unos prihoda i primitaka'!$L$3:$L$502,"=65")</f>
        <v>0</v>
      </c>
      <c r="J37" s="120">
        <f>SUMIFS('Unos prihoda i primitaka'!$H$3:$H$502,'Unos prihoda i primitaka'!$C$3:$C$502,"=52",'Unos prihoda i primitaka'!$L$3:$L$502,"=65")</f>
        <v>0</v>
      </c>
      <c r="K37" s="120">
        <f>SUMIFS('Unos prihoda i primitaka'!$H$3:$H$502,'Unos prihoda i primitaka'!$C$3:$C$502,"=552",'Unos prihoda i primitaka'!$L$3:$L$502,"=65")</f>
        <v>0</v>
      </c>
      <c r="L37" s="120">
        <f>SUMIFS('Unos prihoda i primitaka'!$H$3:$H$502,'Unos prihoda i primitaka'!$C$3:$C$502,"=559",'Unos prihoda i primitaka'!$L$3:$L$502,"=65")</f>
        <v>0</v>
      </c>
      <c r="M37" s="120">
        <f>SUMIFS('Unos prihoda i primitaka'!$H$3:$H$502,'Unos prihoda i primitaka'!$C$3:$C$502,"=561",'Unos prihoda i primitaka'!$L$3:$L$502,"=65")</f>
        <v>0</v>
      </c>
      <c r="N37" s="120">
        <f>SUMIFS('Unos prihoda i primitaka'!$H$3:$H$502,'Unos prihoda i primitaka'!$C$3:$C$502,"=563",'Unos prihoda i primitaka'!$L$3:$L$502,"=65")</f>
        <v>0</v>
      </c>
      <c r="O37" s="120">
        <f>SUMIFS('Unos prihoda i primitaka'!$H$3:$H$502,'Unos prihoda i primitaka'!$C$3:$C$502,"=573",'Unos prihoda i primitaka'!$L$3:$L$502,"=65")</f>
        <v>0</v>
      </c>
      <c r="P37" s="120">
        <f>SUMIFS('Unos prihoda i primitaka'!$H$3:$H$502,'Unos prihoda i primitaka'!$C$3:$C$502,"=575",'Unos prihoda i primitaka'!$L$3:$L$502,"=65")</f>
        <v>0</v>
      </c>
      <c r="Q37" s="120">
        <f>SUMIFS('Unos prihoda i primitaka'!$H$3:$H$502,'Unos prihoda i primitaka'!$C$3:$C$502,"=576",'Unos prihoda i primitaka'!$L$3:$L$502,"=65")</f>
        <v>0</v>
      </c>
      <c r="R37" s="120">
        <f>SUMIFS('Unos prihoda i primitaka'!$H$3:$H$502,'Unos prihoda i primitaka'!$C$3:$C$502,"=581",'Unos prihoda i primitaka'!$L$3:$L$502,"=65")</f>
        <v>0</v>
      </c>
      <c r="S37" s="120">
        <f>SUMIFS('Unos prihoda i primitaka'!$H$3:$H$502,'Unos prihoda i primitaka'!$C$3:$C$502,"=61",'Unos prihoda i primitaka'!$L$3:$L$502,"=65")</f>
        <v>0</v>
      </c>
      <c r="T37" s="120">
        <f>SUMIFS('Unos prihoda i primitaka'!$H$3:$H$502,'Unos prihoda i primitaka'!$C$3:$C$502,"=63",'Unos prihoda i primitaka'!$L$3:$L$502,"=65")</f>
        <v>0</v>
      </c>
      <c r="U37" s="120">
        <f>SUMIFS('Unos prihoda i primitaka'!$H$3:$H$502,'Unos prihoda i primitaka'!$C$3:$C$502,"=71",'Unos prihoda i primitaka'!$L$3:$L$502,"=65")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35440</v>
      </c>
      <c r="D38" s="120">
        <f>SUMIFS('Unos prihoda i primitaka'!$H$3:$H$502,'Unos prihoda i primitaka'!$C$3:$C$502,"=11",'Unos prihoda i primitaka'!$L$3:$L$502,"=66")</f>
        <v>0</v>
      </c>
      <c r="E38" s="120">
        <f>SUMIFS('Unos prihoda i primitaka'!$H$3:$H$502,'Unos prihoda i primitaka'!$C$3:$C$502,"=12",'Unos prihoda i primitaka'!$L$3:$L$502,"=66")</f>
        <v>0</v>
      </c>
      <c r="F38" s="120">
        <f>SUMIFS('Unos prihoda i primitaka'!$H$3:$H$502,'Unos prihoda i primitaka'!$C$3:$C$502,"=31",'Unos prihoda i primitaka'!$L$3:$L$502,"=66")</f>
        <v>35440</v>
      </c>
      <c r="G38" s="120">
        <f>SUMIFS('Unos prihoda i primitaka'!$H$3:$H$502,'Unos prihoda i primitaka'!$C$3:$C$502,"=41",'Unos prihoda i primitaka'!$L$3:$L$502,"=66")</f>
        <v>0</v>
      </c>
      <c r="H38" s="120">
        <f>SUMIFS('Unos prihoda i primitaka'!$H$3:$H$502,'Unos prihoda i primitaka'!$C$3:$C$502,"=43",'Unos prihoda i primitaka'!$L$3:$L$502,"=66")</f>
        <v>0</v>
      </c>
      <c r="I38" s="120">
        <f>SUMIFS('Unos prihoda i primitaka'!$H$3:$H$502,'Unos prihoda i primitaka'!$C$3:$C$502,"=51",'Unos prihoda i primitaka'!$L$3:$L$502,"=66")</f>
        <v>0</v>
      </c>
      <c r="J38" s="120">
        <f>SUMIFS('Unos prihoda i primitaka'!$H$3:$H$502,'Unos prihoda i primitaka'!$C$3:$C$502,"=52",'Unos prihoda i primitaka'!$L$3:$L$502,"=66")</f>
        <v>0</v>
      </c>
      <c r="K38" s="120">
        <f>SUMIFS('Unos prihoda i primitaka'!$H$3:$H$502,'Unos prihoda i primitaka'!$C$3:$C$502,"=552",'Unos prihoda i primitaka'!$L$3:$L$502,"=66")</f>
        <v>0</v>
      </c>
      <c r="L38" s="120">
        <f>SUMIFS('Unos prihoda i primitaka'!$H$3:$H$502,'Unos prihoda i primitaka'!$C$3:$C$502,"=559",'Unos prihoda i primitaka'!$L$3:$L$502,"=66")</f>
        <v>0</v>
      </c>
      <c r="M38" s="120">
        <f>SUMIFS('Unos prihoda i primitaka'!$H$3:$H$502,'Unos prihoda i primitaka'!$C$3:$C$502,"=561",'Unos prihoda i primitaka'!$L$3:$L$502,"=66")</f>
        <v>0</v>
      </c>
      <c r="N38" s="120">
        <f>SUMIFS('Unos prihoda i primitaka'!$H$3:$H$502,'Unos prihoda i primitaka'!$C$3:$C$502,"=563",'Unos prihoda i primitaka'!$L$3:$L$502,"=66")</f>
        <v>0</v>
      </c>
      <c r="O38" s="120">
        <f>SUMIFS('Unos prihoda i primitaka'!$H$3:$H$502,'Unos prihoda i primitaka'!$C$3:$C$502,"=573",'Unos prihoda i primitaka'!$L$3:$L$502,"=66")</f>
        <v>0</v>
      </c>
      <c r="P38" s="120">
        <f>SUMIFS('Unos prihoda i primitaka'!$H$3:$H$502,'Unos prihoda i primitaka'!$C$3:$C$502,"=575",'Unos prihoda i primitaka'!$L$3:$L$502,"=66")</f>
        <v>0</v>
      </c>
      <c r="Q38" s="120">
        <f>SUMIFS('Unos prihoda i primitaka'!$H$3:$H$502,'Unos prihoda i primitaka'!$C$3:$C$502,"=576",'Unos prihoda i primitaka'!$L$3:$L$502,"=66")</f>
        <v>0</v>
      </c>
      <c r="R38" s="120">
        <f>SUMIFS('Unos prihoda i primitaka'!$H$3:$H$502,'Unos prihoda i primitaka'!$C$3:$C$502,"=581",'Unos prihoda i primitaka'!$L$3:$L$502,"=66")</f>
        <v>0</v>
      </c>
      <c r="S38" s="120">
        <f>SUMIFS('Unos prihoda i primitaka'!$H$3:$H$502,'Unos prihoda i primitaka'!$C$3:$C$502,"=61",'Unos prihoda i primitaka'!$L$3:$L$502,"=66")</f>
        <v>0</v>
      </c>
      <c r="T38" s="120">
        <f>SUMIFS('Unos prihoda i primitaka'!$H$3:$H$502,'Unos prihoda i primitaka'!$C$3:$C$502,"=63",'Unos prihoda i primitaka'!$L$3:$L$502,"=66")</f>
        <v>0</v>
      </c>
      <c r="U38" s="120">
        <f>SUMIFS('Unos prihoda i primitaka'!$H$3:$H$502,'Unos prihoda i primitaka'!$C$3:$C$502,"=71",'Unos prihoda i primitaka'!$L$3:$L$502,"=66")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-68014</v>
      </c>
      <c r="D39" s="120">
        <f>SUMIFS('Unos prihoda i primitaka'!$H$3:$H$502,'Unos prihoda i primitaka'!$C$3:$C$502,"=11",'Unos prihoda i primitaka'!$L$3:$L$502,"=67")</f>
        <v>-68014</v>
      </c>
      <c r="E39" s="120">
        <f>SUMIFS('Unos prihoda i primitaka'!$H$3:$H$502,'Unos prihoda i primitaka'!$C$3:$C$502,"=12",'Unos prihoda i primitaka'!$L$3:$L$502,"=67")</f>
        <v>0</v>
      </c>
      <c r="F39" s="120">
        <f>SUMIFS('Unos prihoda i primitaka'!$H$3:$H$502,'Unos prihoda i primitaka'!$C$3:$C$502,"=31",'Unos prihoda i primitaka'!$L$3:$L$502,"=67")</f>
        <v>0</v>
      </c>
      <c r="G39" s="120">
        <f>SUMIFS('Unos prihoda i primitaka'!$H$3:$H$502,'Unos prihoda i primitaka'!$C$3:$C$502,"=41",'Unos prihoda i primitaka'!$L$3:$L$502,"=67")</f>
        <v>0</v>
      </c>
      <c r="H39" s="120">
        <f>SUMIFS('Unos prihoda i primitaka'!$H$3:$H$502,'Unos prihoda i primitaka'!$C$3:$C$502,"=43",'Unos prihoda i primitaka'!$L$3:$L$502,"=67")</f>
        <v>0</v>
      </c>
      <c r="I39" s="120">
        <f>SUMIFS('Unos prihoda i primitaka'!$H$3:$H$502,'Unos prihoda i primitaka'!$C$3:$C$502,"=51",'Unos prihoda i primitaka'!$L$3:$L$502,"=67")</f>
        <v>0</v>
      </c>
      <c r="J39" s="120">
        <f>SUMIFS('Unos prihoda i primitaka'!$H$3:$H$502,'Unos prihoda i primitaka'!$C$3:$C$502,"=52",'Unos prihoda i primitaka'!$L$3:$L$502,"=67")</f>
        <v>0</v>
      </c>
      <c r="K39" s="120">
        <f>SUMIFS('Unos prihoda i primitaka'!$H$3:$H$502,'Unos prihoda i primitaka'!$C$3:$C$502,"=552",'Unos prihoda i primitaka'!$L$3:$L$502,"=67")</f>
        <v>0</v>
      </c>
      <c r="L39" s="120">
        <f>SUMIFS('Unos prihoda i primitaka'!$H$3:$H$502,'Unos prihoda i primitaka'!$C$3:$C$502,"=559",'Unos prihoda i primitaka'!$L$3:$L$502,"=67")</f>
        <v>0</v>
      </c>
      <c r="M39" s="120">
        <f>SUMIFS('Unos prihoda i primitaka'!$H$3:$H$502,'Unos prihoda i primitaka'!$C$3:$C$502,"=561",'Unos prihoda i primitaka'!$L$3:$L$502,"=67")</f>
        <v>0</v>
      </c>
      <c r="N39" s="120">
        <f>SUMIFS('Unos prihoda i primitaka'!$H$3:$H$502,'Unos prihoda i primitaka'!$C$3:$C$502,"=563",'Unos prihoda i primitaka'!$L$3:$L$502,"=67")</f>
        <v>0</v>
      </c>
      <c r="O39" s="120">
        <f>SUMIFS('Unos prihoda i primitaka'!$H$3:$H$502,'Unos prihoda i primitaka'!$C$3:$C$502,"=573",'Unos prihoda i primitaka'!$L$3:$L$502,"=67")</f>
        <v>0</v>
      </c>
      <c r="P39" s="120">
        <f>SUMIFS('Unos prihoda i primitaka'!$H$3:$H$502,'Unos prihoda i primitaka'!$C$3:$C$502,"=575",'Unos prihoda i primitaka'!$L$3:$L$502,"=67")</f>
        <v>0</v>
      </c>
      <c r="Q39" s="120">
        <f>SUMIFS('Unos prihoda i primitaka'!$H$3:$H$502,'Unos prihoda i primitaka'!$C$3:$C$502,"=576",'Unos prihoda i primitaka'!$L$3:$L$502,"=67")</f>
        <v>0</v>
      </c>
      <c r="R39" s="120">
        <f>SUMIFS('Unos prihoda i primitaka'!$H$3:$H$502,'Unos prihoda i primitaka'!$C$3:$C$502,"=581",'Unos prihoda i primitaka'!$L$3:$L$502,"=67")</f>
        <v>0</v>
      </c>
      <c r="S39" s="120">
        <f>SUMIFS('Unos prihoda i primitaka'!$H$3:$H$502,'Unos prihoda i primitaka'!$C$3:$C$502,"=61",'Unos prihoda i primitaka'!$L$3:$L$502,"=67")</f>
        <v>0</v>
      </c>
      <c r="T39" s="120">
        <f>SUMIFS('Unos prihoda i primitaka'!$H$3:$H$502,'Unos prihoda i primitaka'!$C$3:$C$502,"=63",'Unos prihoda i primitaka'!$L$3:$L$502,"=67")</f>
        <v>0</v>
      </c>
      <c r="U39" s="120">
        <f>SUMIFS('Unos prihoda i primitaka'!$H$3:$H$502,'Unos prihoda i primitaka'!$C$3:$C$502,"=71",'Unos prihoda i primitaka'!$L$3:$L$502,"=67")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25</v>
      </c>
      <c r="D40" s="120">
        <f>SUMIFS('Unos prihoda i primitaka'!$H$3:$H$502,'Unos prihoda i primitaka'!$C$3:$C$502,"=11",'Unos prihoda i primitaka'!$L$3:$L$502,"=68")</f>
        <v>0</v>
      </c>
      <c r="E40" s="120">
        <f>SUMIFS('Unos prihoda i primitaka'!$H$3:$H$502,'Unos prihoda i primitaka'!$C$3:$C$502,"=12",'Unos prihoda i primitaka'!$L$3:$L$502,"=68")</f>
        <v>0</v>
      </c>
      <c r="F40" s="120">
        <f>SUMIFS('Unos prihoda i primitaka'!$H$3:$H$502,'Unos prihoda i primitaka'!$C$3:$C$502,"=31",'Unos prihoda i primitaka'!$L$3:$L$502,"=68")</f>
        <v>10</v>
      </c>
      <c r="G40" s="120">
        <f>SUMIFS('Unos prihoda i primitaka'!$H$3:$H$502,'Unos prihoda i primitaka'!$C$3:$C$502,"=41",'Unos prihoda i primitaka'!$L$3:$L$502,"=68")</f>
        <v>0</v>
      </c>
      <c r="H40" s="120">
        <f>SUMIFS('Unos prihoda i primitaka'!$H$3:$H$502,'Unos prihoda i primitaka'!$C$3:$C$502,"=43",'Unos prihoda i primitaka'!$L$3:$L$502,"=68")</f>
        <v>15</v>
      </c>
      <c r="I40" s="120">
        <f>SUMIFS('Unos prihoda i primitaka'!$H$3:$H$502,'Unos prihoda i primitaka'!$C$3:$C$502,"=51",'Unos prihoda i primitaka'!$L$3:$L$502,"=68")</f>
        <v>0</v>
      </c>
      <c r="J40" s="120">
        <f>SUMIFS('Unos prihoda i primitaka'!$H$3:$H$502,'Unos prihoda i primitaka'!$C$3:$C$502,"=52",'Unos prihoda i primitaka'!$L$3:$L$502,"=68")</f>
        <v>0</v>
      </c>
      <c r="K40" s="120">
        <f>SUMIFS('Unos prihoda i primitaka'!$H$3:$H$502,'Unos prihoda i primitaka'!$C$3:$C$502,"=552",'Unos prihoda i primitaka'!$L$3:$L$502,"=68")</f>
        <v>0</v>
      </c>
      <c r="L40" s="120">
        <f>SUMIFS('Unos prihoda i primitaka'!$H$3:$H$502,'Unos prihoda i primitaka'!$C$3:$C$502,"=559",'Unos prihoda i primitaka'!$L$3:$L$502,"=68")</f>
        <v>0</v>
      </c>
      <c r="M40" s="120">
        <f>SUMIFS('Unos prihoda i primitaka'!$H$3:$H$502,'Unos prihoda i primitaka'!$C$3:$C$502,"=561",'Unos prihoda i primitaka'!$L$3:$L$502,"=68")</f>
        <v>0</v>
      </c>
      <c r="N40" s="120">
        <f>SUMIFS('Unos prihoda i primitaka'!$H$3:$H$502,'Unos prihoda i primitaka'!$C$3:$C$502,"=563",'Unos prihoda i primitaka'!$L$3:$L$502,"=68")</f>
        <v>0</v>
      </c>
      <c r="O40" s="120">
        <f>SUMIFS('Unos prihoda i primitaka'!$H$3:$H$502,'Unos prihoda i primitaka'!$C$3:$C$502,"=573",'Unos prihoda i primitaka'!$L$3:$L$502,"=68")</f>
        <v>0</v>
      </c>
      <c r="P40" s="120">
        <f>SUMIFS('Unos prihoda i primitaka'!$H$3:$H$502,'Unos prihoda i primitaka'!$C$3:$C$502,"=575",'Unos prihoda i primitaka'!$L$3:$L$502,"=68")</f>
        <v>0</v>
      </c>
      <c r="Q40" s="120">
        <f>SUMIFS('Unos prihoda i primitaka'!$H$3:$H$502,'Unos prihoda i primitaka'!$C$3:$C$502,"=576",'Unos prihoda i primitaka'!$L$3:$L$502,"=68")</f>
        <v>0</v>
      </c>
      <c r="R40" s="120">
        <f>SUMIFS('Unos prihoda i primitaka'!$H$3:$H$502,'Unos prihoda i primitaka'!$C$3:$C$502,"=581",'Unos prihoda i primitaka'!$L$3:$L$502,"=68")</f>
        <v>0</v>
      </c>
      <c r="S40" s="120">
        <f>SUMIFS('Unos prihoda i primitaka'!$H$3:$H$502,'Unos prihoda i primitaka'!$C$3:$C$502,"=61",'Unos prihoda i primitaka'!$L$3:$L$502,"=68")</f>
        <v>0</v>
      </c>
      <c r="T40" s="120">
        <f>SUMIFS('Unos prihoda i primitaka'!$H$3:$H$502,'Unos prihoda i primitaka'!$C$3:$C$502,"=63",'Unos prihoda i primitaka'!$L$3:$L$502,"=68")</f>
        <v>0</v>
      </c>
      <c r="U40" s="120">
        <f>SUMIFS('Unos prihoda i primitaka'!$H$3:$H$502,'Unos prihoda i primitaka'!$C$3:$C$502,"=71",'Unos prihoda i primitaka'!$L$3:$L$502,"=68")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85429</v>
      </c>
      <c r="D41" s="3">
        <f t="shared" ref="D41:U41" si="6">SUM(D34:D40)</f>
        <v>-68014</v>
      </c>
      <c r="E41" s="3">
        <f t="shared" si="6"/>
        <v>0</v>
      </c>
      <c r="F41" s="3">
        <f t="shared" si="6"/>
        <v>35450</v>
      </c>
      <c r="G41" s="3">
        <f t="shared" si="6"/>
        <v>0</v>
      </c>
      <c r="H41" s="3">
        <f t="shared" si="6"/>
        <v>87293</v>
      </c>
      <c r="I41" s="3">
        <f t="shared" si="6"/>
        <v>0</v>
      </c>
      <c r="J41" s="3">
        <f t="shared" si="6"/>
        <v>30700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primitaka'!$H$3:$H$502,'Unos prihoda i primitaka'!$C$3:$C$502,"=11",'Unos prihoda i primitaka'!$L$3:$L$502,"=71")</f>
        <v>0</v>
      </c>
      <c r="E42" s="120">
        <f>SUMIFS('Unos prihoda i primitaka'!$H$3:$H$502,'Unos prihoda i primitaka'!$C$3:$C$502,"=12",'Unos prihoda i primitaka'!$L$3:$L$502,"=71")</f>
        <v>0</v>
      </c>
      <c r="F42" s="120">
        <f>SUMIFS('Unos prihoda i primitaka'!$H$3:$H$502,'Unos prihoda i primitaka'!$C$3:$C$502,"=31",'Unos prihoda i primitaka'!$L$3:$L$502,"=71")</f>
        <v>0</v>
      </c>
      <c r="G42" s="120">
        <f>SUMIFS('Unos prihoda i primitaka'!$H$3:$H$502,'Unos prihoda i primitaka'!$C$3:$C$502,"=41",'Unos prihoda i primitaka'!$L$3:$L$502,"=71")</f>
        <v>0</v>
      </c>
      <c r="H42" s="120">
        <f>SUMIFS('Unos prihoda i primitaka'!$H$3:$H$502,'Unos prihoda i primitaka'!$C$3:$C$502,"=43",'Unos prihoda i primitaka'!$L$3:$L$502,"=71")</f>
        <v>0</v>
      </c>
      <c r="I42" s="120">
        <f>SUMIFS('Unos prihoda i primitaka'!$H$3:$H$502,'Unos prihoda i primitaka'!$C$3:$C$502,"=51",'Unos prihoda i primitaka'!$L$3:$L$502,"=71")</f>
        <v>0</v>
      </c>
      <c r="J42" s="120">
        <f>SUMIFS('Unos prihoda i primitaka'!$H$3:$H$502,'Unos prihoda i primitaka'!$C$3:$C$502,"=52",'Unos prihoda i primitaka'!$L$3:$L$502,"=71")</f>
        <v>0</v>
      </c>
      <c r="K42" s="120">
        <f>SUMIFS('Unos prihoda i primitaka'!$H$3:$H$502,'Unos prihoda i primitaka'!$C$3:$C$502,"=552",'Unos prihoda i primitaka'!$L$3:$L$502,"=71")</f>
        <v>0</v>
      </c>
      <c r="L42" s="120">
        <f>SUMIFS('Unos prihoda i primitaka'!$H$3:$H$502,'Unos prihoda i primitaka'!$C$3:$C$502,"=559",'Unos prihoda i primitaka'!$L$3:$L$502,"=71")</f>
        <v>0</v>
      </c>
      <c r="M42" s="120">
        <f>SUMIFS('Unos prihoda i primitaka'!$H$3:$H$502,'Unos prihoda i primitaka'!$C$3:$C$502,"=561",'Unos prihoda i primitaka'!$L$3:$L$502,"=71")</f>
        <v>0</v>
      </c>
      <c r="N42" s="120">
        <f>SUMIFS('Unos prihoda i primitaka'!$H$3:$H$502,'Unos prihoda i primitaka'!$C$3:$C$502,"=563",'Unos prihoda i primitaka'!$L$3:$L$502,"=71")</f>
        <v>0</v>
      </c>
      <c r="O42" s="120">
        <f>SUMIFS('Unos prihoda i primitaka'!$H$3:$H$502,'Unos prihoda i primitaka'!$C$3:$C$502,"=573",'Unos prihoda i primitaka'!$L$3:$L$502,"=71")</f>
        <v>0</v>
      </c>
      <c r="P42" s="120">
        <f>SUMIFS('Unos prihoda i primitaka'!$H$3:$H$502,'Unos prihoda i primitaka'!$C$3:$C$502,"=575",'Unos prihoda i primitaka'!$L$3:$L$502,"=71")</f>
        <v>0</v>
      </c>
      <c r="Q42" s="120">
        <f>SUMIFS('Unos prihoda i primitaka'!$H$3:$H$502,'Unos prihoda i primitaka'!$C$3:$C$502,"=576",'Unos prihoda i primitaka'!$L$3:$L$502,"=71")</f>
        <v>0</v>
      </c>
      <c r="R42" s="120">
        <f>SUMIFS('Unos prihoda i primitaka'!$H$3:$H$502,'Unos prihoda i primitaka'!$C$3:$C$502,"=581",'Unos prihoda i primitaka'!$L$3:$L$502,"=71")</f>
        <v>0</v>
      </c>
      <c r="S42" s="120">
        <f>SUMIFS('Unos prihoda i primitaka'!$H$3:$H$502,'Unos prihoda i primitaka'!$C$3:$C$502,"=61",'Unos prihoda i primitaka'!$L$3:$L$502,"=71")</f>
        <v>0</v>
      </c>
      <c r="T42" s="120">
        <f>SUMIFS('Unos prihoda i primitaka'!$H$3:$H$502,'Unos prihoda i primitaka'!$C$3:$C$502,"=63",'Unos prihoda i primitaka'!$L$3:$L$502,"=71")</f>
        <v>0</v>
      </c>
      <c r="U42" s="120">
        <f>SUMIFS('Unos prihoda i primitaka'!$H$3:$H$502,'Unos prihoda i primitaka'!$C$3:$C$502,"=71",'Unos prihoda i primitaka'!$L$3:$L$502,"=71")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primitaka'!$H$3:$H$502,'Unos prihoda i primitaka'!$C$3:$C$502,"=11",'Unos prihoda i primitaka'!$L$3:$L$502,"=72")</f>
        <v>0</v>
      </c>
      <c r="E43" s="120">
        <f>SUMIFS('Unos prihoda i primitaka'!$H$3:$H$502,'Unos prihoda i primitaka'!$C$3:$C$502,"=12",'Unos prihoda i primitaka'!$L$3:$L$502,"=72")</f>
        <v>0</v>
      </c>
      <c r="F43" s="120">
        <f>SUMIFS('Unos prihoda i primitaka'!$H$3:$H$502,'Unos prihoda i primitaka'!$C$3:$C$502,"=31",'Unos prihoda i primitaka'!$L$3:$L$502,"=72")</f>
        <v>0</v>
      </c>
      <c r="G43" s="120">
        <f>SUMIFS('Unos prihoda i primitaka'!$H$3:$H$502,'Unos prihoda i primitaka'!$C$3:$C$502,"=41",'Unos prihoda i primitaka'!$L$3:$L$502,"=72")</f>
        <v>0</v>
      </c>
      <c r="H43" s="120">
        <f>SUMIFS('Unos prihoda i primitaka'!$H$3:$H$502,'Unos prihoda i primitaka'!$C$3:$C$502,"=43",'Unos prihoda i primitaka'!$L$3:$L$502,"=72")</f>
        <v>0</v>
      </c>
      <c r="I43" s="120">
        <f>SUMIFS('Unos prihoda i primitaka'!$H$3:$H$502,'Unos prihoda i primitaka'!$C$3:$C$502,"=51",'Unos prihoda i primitaka'!$L$3:$L$502,"=72")</f>
        <v>0</v>
      </c>
      <c r="J43" s="120">
        <f>SUMIFS('Unos prihoda i primitaka'!$H$3:$H$502,'Unos prihoda i primitaka'!$C$3:$C$502,"=52",'Unos prihoda i primitaka'!$L$3:$L$502,"=72")</f>
        <v>0</v>
      </c>
      <c r="K43" s="120">
        <f>SUMIFS('Unos prihoda i primitaka'!$H$3:$H$502,'Unos prihoda i primitaka'!$C$3:$C$502,"=552",'Unos prihoda i primitaka'!$L$3:$L$502,"=72")</f>
        <v>0</v>
      </c>
      <c r="L43" s="120">
        <f>SUMIFS('Unos prihoda i primitaka'!$H$3:$H$502,'Unos prihoda i primitaka'!$C$3:$C$502,"=559",'Unos prihoda i primitaka'!$L$3:$L$502,"=72")</f>
        <v>0</v>
      </c>
      <c r="M43" s="120">
        <f>SUMIFS('Unos prihoda i primitaka'!$H$3:$H$502,'Unos prihoda i primitaka'!$C$3:$C$502,"=561",'Unos prihoda i primitaka'!$L$3:$L$502,"=72")</f>
        <v>0</v>
      </c>
      <c r="N43" s="120">
        <f>SUMIFS('Unos prihoda i primitaka'!$H$3:$H$502,'Unos prihoda i primitaka'!$C$3:$C$502,"=563",'Unos prihoda i primitaka'!$L$3:$L$502,"=72")</f>
        <v>0</v>
      </c>
      <c r="O43" s="120">
        <f>SUMIFS('Unos prihoda i primitaka'!$H$3:$H$502,'Unos prihoda i primitaka'!$C$3:$C$502,"=573",'Unos prihoda i primitaka'!$L$3:$L$502,"=72")</f>
        <v>0</v>
      </c>
      <c r="P43" s="120">
        <f>SUMIFS('Unos prihoda i primitaka'!$H$3:$H$502,'Unos prihoda i primitaka'!$C$3:$C$502,"=575",'Unos prihoda i primitaka'!$L$3:$L$502,"=72")</f>
        <v>0</v>
      </c>
      <c r="Q43" s="120">
        <f>SUMIFS('Unos prihoda i primitaka'!$H$3:$H$502,'Unos prihoda i primitaka'!$C$3:$C$502,"=576",'Unos prihoda i primitaka'!$L$3:$L$502,"=72")</f>
        <v>0</v>
      </c>
      <c r="R43" s="120">
        <f>SUMIFS('Unos prihoda i primitaka'!$H$3:$H$502,'Unos prihoda i primitaka'!$C$3:$C$502,"=581",'Unos prihoda i primitaka'!$L$3:$L$502,"=72")</f>
        <v>0</v>
      </c>
      <c r="S43" s="120">
        <f>SUMIFS('Unos prihoda i primitaka'!$H$3:$H$502,'Unos prihoda i primitaka'!$C$3:$C$502,"=61",'Unos prihoda i primitaka'!$L$3:$L$502,"=72")</f>
        <v>0</v>
      </c>
      <c r="T43" s="120">
        <f>SUMIFS('Unos prihoda i primitaka'!$H$3:$H$502,'Unos prihoda i primitaka'!$C$3:$C$502,"=63",'Unos prihoda i primitaka'!$L$3:$L$502,"=72")</f>
        <v>0</v>
      </c>
      <c r="U43" s="120">
        <f>SUMIFS('Unos prihoda i primitaka'!$H$3:$H$502,'Unos prihoda i primitaka'!$C$3:$C$502,"=71",'Unos prihoda i primitaka'!$L$3:$L$502,"=72")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5267</v>
      </c>
      <c r="C47" s="60">
        <f t="shared" ref="C47:C64" si="8">SUM(D47:U47)</f>
        <v>833742</v>
      </c>
      <c r="D47" s="60">
        <f t="shared" ref="D47:U47" si="9">+D64+D61</f>
        <v>607650</v>
      </c>
      <c r="E47" s="60">
        <f t="shared" si="9"/>
        <v>0</v>
      </c>
      <c r="F47" s="60">
        <f t="shared" si="9"/>
        <v>35667</v>
      </c>
      <c r="G47" s="60">
        <f t="shared" si="9"/>
        <v>0</v>
      </c>
      <c r="H47" s="60">
        <f t="shared" si="9"/>
        <v>132027</v>
      </c>
      <c r="I47" s="60">
        <f t="shared" si="9"/>
        <v>0</v>
      </c>
      <c r="J47" s="60">
        <f t="shared" si="9"/>
        <v>58398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primitaka'!$I$3:$I$502,'Unos prihoda i primitaka'!$C$3:$C$502,"=11",'Unos prihoda i primitaka'!$L$3:$L$502,"=61")</f>
        <v>0</v>
      </c>
      <c r="E48" s="120">
        <f>SUMIFS('Unos prihoda i primitaka'!$I$3:$I$502,'Unos prihoda i primitaka'!$C$3:$C$502,"=12",'Unos prihoda i primitaka'!$L$3:$L$502,"=61")</f>
        <v>0</v>
      </c>
      <c r="F48" s="120">
        <f>SUMIFS('Unos prihoda i primitaka'!$I$3:$I$502,'Unos prihoda i primitaka'!$C$3:$C$502,"=31",'Unos prihoda i primitaka'!$L$3:$L$502,"=61")</f>
        <v>0</v>
      </c>
      <c r="G48" s="120">
        <f>SUMIFS('Unos prihoda i primitaka'!$I$3:$I$502,'Unos prihoda i primitaka'!$C$3:$C$502,"=41",'Unos prihoda i primitaka'!$L$3:$L$502,"=61")</f>
        <v>0</v>
      </c>
      <c r="H48" s="120">
        <f>SUMIFS('Unos prihoda i primitaka'!$I$3:$I$502,'Unos prihoda i primitaka'!$C$3:$C$502,"=43",'Unos prihoda i primitaka'!$L$3:$L$502,"=61")</f>
        <v>0</v>
      </c>
      <c r="I48" s="120">
        <f>SUMIFS('Unos prihoda i primitaka'!$I$3:$I$502,'Unos prihoda i primitaka'!$C$3:$C$502,"=51",'Unos prihoda i primitaka'!$L$3:$L$502,"=61")</f>
        <v>0</v>
      </c>
      <c r="J48" s="120">
        <f>SUMIFS('Unos prihoda i primitaka'!$I$3:$I$502,'Unos prihoda i primitaka'!$C$3:$C$502,"=52",'Unos prihoda i primitaka'!$L$3:$L$502,"=61")</f>
        <v>0</v>
      </c>
      <c r="K48" s="120">
        <f>SUMIFS('Unos prihoda i primitaka'!$I$3:$I$502,'Unos prihoda i primitaka'!$C$3:$C$502,"=552",'Unos prihoda i primitaka'!$L$3:$L$502,"=61")</f>
        <v>0</v>
      </c>
      <c r="L48" s="120">
        <f>SUMIFS('Unos prihoda i primitaka'!$I$3:$I$502,'Unos prihoda i primitaka'!$C$3:$C$502,"=559",'Unos prihoda i primitaka'!$L$3:$L$502,"=61")</f>
        <v>0</v>
      </c>
      <c r="M48" s="120">
        <f>SUMIFS('Unos prihoda i primitaka'!$I$3:$I$502,'Unos prihoda i primitaka'!$C$3:$C$502,"=561",'Unos prihoda i primitaka'!$L$3:$L$502,"=61")</f>
        <v>0</v>
      </c>
      <c r="N48" s="120">
        <f>SUMIFS('Unos prihoda i primitaka'!$I$3:$I$502,'Unos prihoda i primitaka'!$C$3:$C$502,"=563",'Unos prihoda i primitaka'!$L$3:$L$502,"=61")</f>
        <v>0</v>
      </c>
      <c r="O48" s="120">
        <f>SUMIFS('Unos prihoda i primitaka'!$I$3:$I$502,'Unos prihoda i primitaka'!$C$3:$C$502,"=573",'Unos prihoda i primitaka'!$L$3:$L$502,"=61")</f>
        <v>0</v>
      </c>
      <c r="P48" s="120">
        <f>SUMIFS('Unos prihoda i primitaka'!$I$3:$I$502,'Unos prihoda i primitaka'!$C$3:$C$502,"=575",'Unos prihoda i primitaka'!$L$3:$L$502,"=61")</f>
        <v>0</v>
      </c>
      <c r="Q48" s="120">
        <f>SUMIFS('Unos prihoda i primitaka'!$I$3:$I$502,'Unos prihoda i primitaka'!$C$3:$C$502,"=576",'Unos prihoda i primitaka'!$L$3:$L$502,"=61")</f>
        <v>0</v>
      </c>
      <c r="R48" s="120">
        <f>SUMIFS('Unos prihoda i primitaka'!$I$3:$I$502,'Unos prihoda i primitaka'!$C$3:$C$502,"=581",'Unos prihoda i primitaka'!$L$3:$L$502,"=61")</f>
        <v>0</v>
      </c>
      <c r="S48" s="120">
        <f>SUMIFS('Unos prihoda i primitaka'!$I$3:$I$502,'Unos prihoda i primitaka'!$C$3:$C$502,"=61",'Unos prihoda i primitaka'!$L$3:$L$502,"=61")</f>
        <v>0</v>
      </c>
      <c r="T48" s="120">
        <f>SUMIFS('Unos prihoda i primitaka'!$I$3:$I$502,'Unos prihoda i primitaka'!$C$3:$C$502,"=63",'Unos prihoda i primitaka'!$L$3:$L$502,"=61")</f>
        <v>0</v>
      </c>
      <c r="U48" s="120">
        <f>SUMIFS('Unos prihoda i primitaka'!$I$3:$I$502,'Unos prihoda i primitaka'!$C$3:$C$502,"=71",'Unos prihoda i primitaka'!$L$3:$L$502,"=61")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58398</v>
      </c>
      <c r="D52" s="120">
        <f>SUMIFS('Unos prihoda i primitaka'!$I$3:$I$502,'Unos prihoda i primitaka'!$C$3:$C$502,"=11",'Unos prihoda i primitaka'!$L$3:$L$502,"=63")</f>
        <v>0</v>
      </c>
      <c r="E52" s="120">
        <f>SUMIFS('Unos prihoda i primitaka'!$I$3:$I$502,'Unos prihoda i primitaka'!$C$3:$C$502,"=12",'Unos prihoda i primitaka'!$L$3:$L$502,"=63")</f>
        <v>0</v>
      </c>
      <c r="F52" s="120">
        <f>SUMIFS('Unos prihoda i primitaka'!$I$3:$I$502,'Unos prihoda i primitaka'!$C$3:$C$502,"=31",'Unos prihoda i primitaka'!$L$3:$L$502,"=63")</f>
        <v>0</v>
      </c>
      <c r="G52" s="120">
        <f>SUMIFS('Unos prihoda i primitaka'!$I$3:$I$502,'Unos prihoda i primitaka'!$C$3:$C$502,"=41",'Unos prihoda i primitaka'!$L$3:$L$502,"=63")</f>
        <v>0</v>
      </c>
      <c r="H52" s="120">
        <f>SUMIFS('Unos prihoda i primitaka'!$I$3:$I$502,'Unos prihoda i primitaka'!$C$3:$C$502,"=43",'Unos prihoda i primitaka'!$L$3:$L$502,"=63")</f>
        <v>0</v>
      </c>
      <c r="I52" s="120">
        <f>SUMIFS('Unos prihoda i primitaka'!$I$3:$I$502,'Unos prihoda i primitaka'!$C$3:$C$502,"=51",'Unos prihoda i primitaka'!$L$3:$L$502,"=63")</f>
        <v>0</v>
      </c>
      <c r="J52" s="120">
        <f>SUMIFS('Unos prihoda i primitaka'!$I$3:$I$502,'Unos prihoda i primitaka'!$C$3:$C$502,"=52",'Unos prihoda i primitaka'!$L$3:$L$502,"=63")</f>
        <v>58398</v>
      </c>
      <c r="K52" s="120">
        <f>SUMIFS('Unos prihoda i primitaka'!$I$3:$I$502,'Unos prihoda i primitaka'!$C$3:$C$502,"=552",'Unos prihoda i primitaka'!$L$3:$L$502,"=63")</f>
        <v>0</v>
      </c>
      <c r="L52" s="120">
        <f>SUMIFS('Unos prihoda i primitaka'!$I$3:$I$502,'Unos prihoda i primitaka'!$C$3:$C$502,"=559",'Unos prihoda i primitaka'!$L$3:$L$502,"=63")</f>
        <v>0</v>
      </c>
      <c r="M52" s="120">
        <f>SUMIFS('Unos prihoda i primitaka'!$I$3:$I$502,'Unos prihoda i primitaka'!$C$3:$C$502,"=561",'Unos prihoda i primitaka'!$L$3:$L$502,"=63")</f>
        <v>0</v>
      </c>
      <c r="N52" s="120">
        <f>SUMIFS('Unos prihoda i primitaka'!$I$3:$I$502,'Unos prihoda i primitaka'!$C$3:$C$502,"=563",'Unos prihoda i primitaka'!$L$3:$L$502,"=63")</f>
        <v>0</v>
      </c>
      <c r="O52" s="120">
        <f>SUMIFS('Unos prihoda i primitaka'!$I$3:$I$502,'Unos prihoda i primitaka'!$C$3:$C$502,"=573",'Unos prihoda i primitaka'!$L$3:$L$502,"=63")</f>
        <v>0</v>
      </c>
      <c r="P52" s="120">
        <f>SUMIFS('Unos prihoda i primitaka'!$I$3:$I$502,'Unos prihoda i primitaka'!$C$3:$C$502,"=575",'Unos prihoda i primitaka'!$L$3:$L$502,"=63")</f>
        <v>0</v>
      </c>
      <c r="Q52" s="120">
        <f>SUMIFS('Unos prihoda i primitaka'!$I$3:$I$502,'Unos prihoda i primitaka'!$C$3:$C$502,"=576",'Unos prihoda i primitaka'!$L$3:$L$502,"=63")</f>
        <v>0</v>
      </c>
      <c r="R52" s="120">
        <f>SUMIFS('Unos prihoda i primitaka'!$I$3:$I$502,'Unos prihoda i primitaka'!$C$3:$C$502,"=581",'Unos prihoda i primitaka'!$L$3:$L$502,"=63")</f>
        <v>0</v>
      </c>
      <c r="S52" s="120">
        <f>SUMIFS('Unos prihoda i primitaka'!$I$3:$I$502,'Unos prihoda i primitaka'!$C$3:$C$502,"=61",'Unos prihoda i primitaka'!$L$3:$L$502,"=63")</f>
        <v>0</v>
      </c>
      <c r="T52" s="120">
        <f>SUMIFS('Unos prihoda i primitaka'!$I$3:$I$502,'Unos prihoda i primitaka'!$C$3:$C$502,"=63",'Unos prihoda i primitaka'!$L$3:$L$502,"=63")</f>
        <v>0</v>
      </c>
      <c r="U52" s="120">
        <f>SUMIFS('Unos prihoda i primitaka'!$I$3:$I$502,'Unos prihoda i primitaka'!$C$3:$C$502,"=71",'Unos prihoda i primitaka'!$L$3:$L$502,"=63")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18</v>
      </c>
      <c r="D56" s="120">
        <f>SUMIFS('Unos prihoda i primitaka'!$I$3:$I$502,'Unos prihoda i primitaka'!$C$3:$C$502,"=11",'Unos prihoda i primitaka'!$L$3:$L$502,"=64")</f>
        <v>0</v>
      </c>
      <c r="E56" s="120">
        <f>SUMIFS('Unos prihoda i primitaka'!$I$3:$I$502,'Unos prihoda i primitaka'!$C$3:$C$502,"=12",'Unos prihoda i primitaka'!$L$3:$L$502,"=64")</f>
        <v>0</v>
      </c>
      <c r="F56" s="120">
        <f>SUMIFS('Unos prihoda i primitaka'!$I$3:$I$502,'Unos prihoda i primitaka'!$C$3:$C$502,"=31",'Unos prihoda i primitaka'!$L$3:$L$502,"=64")</f>
        <v>18</v>
      </c>
      <c r="G56" s="120">
        <f>SUMIFS('Unos prihoda i primitaka'!$I$3:$I$502,'Unos prihoda i primitaka'!$C$3:$C$502,"=41",'Unos prihoda i primitaka'!$L$3:$L$502,"=64")</f>
        <v>0</v>
      </c>
      <c r="H56" s="120">
        <f>SUMIFS('Unos prihoda i primitaka'!$I$3:$I$502,'Unos prihoda i primitaka'!$C$3:$C$502,"=43",'Unos prihoda i primitaka'!$L$3:$L$502,"=64")</f>
        <v>0</v>
      </c>
      <c r="I56" s="120">
        <f>SUMIFS('Unos prihoda i primitaka'!$I$3:$I$502,'Unos prihoda i primitaka'!$C$3:$C$502,"=51",'Unos prihoda i primitaka'!$L$3:$L$502,"=64")</f>
        <v>0</v>
      </c>
      <c r="J56" s="120">
        <f>SUMIFS('Unos prihoda i primitaka'!$I$3:$I$502,'Unos prihoda i primitaka'!$C$3:$C$502,"=52",'Unos prihoda i primitaka'!$L$3:$L$502,"=64")</f>
        <v>0</v>
      </c>
      <c r="K56" s="120">
        <f>SUMIFS('Unos prihoda i primitaka'!$I$3:$I$502,'Unos prihoda i primitaka'!$C$3:$C$502,"=552",'Unos prihoda i primitaka'!$L$3:$L$502,"=64")</f>
        <v>0</v>
      </c>
      <c r="L56" s="120">
        <f>SUMIFS('Unos prihoda i primitaka'!$I$3:$I$502,'Unos prihoda i primitaka'!$C$3:$C$502,"=559",'Unos prihoda i primitaka'!$L$3:$L$502,"=64")</f>
        <v>0</v>
      </c>
      <c r="M56" s="120">
        <f>SUMIFS('Unos prihoda i primitaka'!$I$3:$I$502,'Unos prihoda i primitaka'!$C$3:$C$502,"=561",'Unos prihoda i primitaka'!$L$3:$L$502,"=64")</f>
        <v>0</v>
      </c>
      <c r="N56" s="120">
        <f>SUMIFS('Unos prihoda i primitaka'!$I$3:$I$502,'Unos prihoda i primitaka'!$C$3:$C$502,"=563",'Unos prihoda i primitaka'!$L$3:$L$502,"=64")</f>
        <v>0</v>
      </c>
      <c r="O56" s="120">
        <f>SUMIFS('Unos prihoda i primitaka'!$I$3:$I$502,'Unos prihoda i primitaka'!$C$3:$C$502,"=573",'Unos prihoda i primitaka'!$L$3:$L$502,"=64")</f>
        <v>0</v>
      </c>
      <c r="P56" s="120">
        <f>SUMIFS('Unos prihoda i primitaka'!$I$3:$I$502,'Unos prihoda i primitaka'!$C$3:$C$502,"=575",'Unos prihoda i primitaka'!$L$3:$L$502,"=64")</f>
        <v>0</v>
      </c>
      <c r="Q56" s="120">
        <f>SUMIFS('Unos prihoda i primitaka'!$I$3:$I$502,'Unos prihoda i primitaka'!$C$3:$C$502,"=576",'Unos prihoda i primitaka'!$L$3:$L$502,"=64")</f>
        <v>0</v>
      </c>
      <c r="R56" s="120">
        <f>SUMIFS('Unos prihoda i primitaka'!$I$3:$I$502,'Unos prihoda i primitaka'!$C$3:$C$502,"=581",'Unos prihoda i primitaka'!$L$3:$L$502,"=64")</f>
        <v>0</v>
      </c>
      <c r="S56" s="120">
        <f>SUMIFS('Unos prihoda i primitaka'!$I$3:$I$502,'Unos prihoda i primitaka'!$C$3:$C$502,"=61",'Unos prihoda i primitaka'!$L$3:$L$502,"=64")</f>
        <v>0</v>
      </c>
      <c r="T56" s="120">
        <f>SUMIFS('Unos prihoda i primitaka'!$I$3:$I$502,'Unos prihoda i primitaka'!$C$3:$C$502,"=63",'Unos prihoda i primitaka'!$L$3:$L$502,"=64")</f>
        <v>0</v>
      </c>
      <c r="U56" s="120">
        <f>SUMIFS('Unos prihoda i primitaka'!$I$3:$I$502,'Unos prihoda i primitaka'!$C$3:$C$502,"=71",'Unos prihoda i primitaka'!$L$3:$L$502,"=64")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132012</v>
      </c>
      <c r="D57" s="120">
        <f>SUMIFS('Unos prihoda i primitaka'!$I$3:$I$502,'Unos prihoda i primitaka'!$C$3:$C$502,"=11",'Unos prihoda i primitaka'!$L$3:$L$502,"=65")</f>
        <v>0</v>
      </c>
      <c r="E57" s="120">
        <f>SUMIFS('Unos prihoda i primitaka'!$I$3:$I$502,'Unos prihoda i primitaka'!$C$3:$C$502,"=12",'Unos prihoda i primitaka'!$L$3:$L$502,"=65")</f>
        <v>0</v>
      </c>
      <c r="F57" s="120">
        <f>SUMIFS('Unos prihoda i primitaka'!$I$3:$I$502,'Unos prihoda i primitaka'!$C$3:$C$502,"=31",'Unos prihoda i primitaka'!$L$3:$L$502,"=65")</f>
        <v>0</v>
      </c>
      <c r="G57" s="120">
        <f>SUMIFS('Unos prihoda i primitaka'!$I$3:$I$502,'Unos prihoda i primitaka'!$C$3:$C$502,"=41",'Unos prihoda i primitaka'!$L$3:$L$502,"=65")</f>
        <v>0</v>
      </c>
      <c r="H57" s="120">
        <f>SUMIFS('Unos prihoda i primitaka'!$I$3:$I$502,'Unos prihoda i primitaka'!$C$3:$C$502,"=43",'Unos prihoda i primitaka'!$L$3:$L$502,"=65")</f>
        <v>132012</v>
      </c>
      <c r="I57" s="120">
        <f>SUMIFS('Unos prihoda i primitaka'!$I$3:$I$502,'Unos prihoda i primitaka'!$C$3:$C$502,"=51",'Unos prihoda i primitaka'!$L$3:$L$502,"=65")</f>
        <v>0</v>
      </c>
      <c r="J57" s="120">
        <f>SUMIFS('Unos prihoda i primitaka'!$I$3:$I$502,'Unos prihoda i primitaka'!$C$3:$C$502,"=52",'Unos prihoda i primitaka'!$L$3:$L$502,"=65")</f>
        <v>0</v>
      </c>
      <c r="K57" s="120">
        <f>SUMIFS('Unos prihoda i primitaka'!$I$3:$I$502,'Unos prihoda i primitaka'!$C$3:$C$502,"=552",'Unos prihoda i primitaka'!$L$3:$L$502,"=65")</f>
        <v>0</v>
      </c>
      <c r="L57" s="120">
        <f>SUMIFS('Unos prihoda i primitaka'!$I$3:$I$502,'Unos prihoda i primitaka'!$C$3:$C$502,"=559",'Unos prihoda i primitaka'!$L$3:$L$502,"=65")</f>
        <v>0</v>
      </c>
      <c r="M57" s="120">
        <f>SUMIFS('Unos prihoda i primitaka'!$I$3:$I$502,'Unos prihoda i primitaka'!$C$3:$C$502,"=561",'Unos prihoda i primitaka'!$L$3:$L$502,"=65")</f>
        <v>0</v>
      </c>
      <c r="N57" s="120">
        <f>SUMIFS('Unos prihoda i primitaka'!$I$3:$I$502,'Unos prihoda i primitaka'!$C$3:$C$502,"=563",'Unos prihoda i primitaka'!$L$3:$L$502,"=65")</f>
        <v>0</v>
      </c>
      <c r="O57" s="120">
        <f>SUMIFS('Unos prihoda i primitaka'!$I$3:$I$502,'Unos prihoda i primitaka'!$C$3:$C$502,"=573",'Unos prihoda i primitaka'!$L$3:$L$502,"=65")</f>
        <v>0</v>
      </c>
      <c r="P57" s="120">
        <f>SUMIFS('Unos prihoda i primitaka'!$I$3:$I$502,'Unos prihoda i primitaka'!$C$3:$C$502,"=575",'Unos prihoda i primitaka'!$L$3:$L$502,"=65")</f>
        <v>0</v>
      </c>
      <c r="Q57" s="120">
        <f>SUMIFS('Unos prihoda i primitaka'!$I$3:$I$502,'Unos prihoda i primitaka'!$C$3:$C$502,"=576",'Unos prihoda i primitaka'!$L$3:$L$502,"=65")</f>
        <v>0</v>
      </c>
      <c r="R57" s="120">
        <f>SUMIFS('Unos prihoda i primitaka'!$I$3:$I$502,'Unos prihoda i primitaka'!$C$3:$C$502,"=581",'Unos prihoda i primitaka'!$L$3:$L$502,"=65")</f>
        <v>0</v>
      </c>
      <c r="S57" s="120">
        <f>SUMIFS('Unos prihoda i primitaka'!$I$3:$I$502,'Unos prihoda i primitaka'!$C$3:$C$502,"=61",'Unos prihoda i primitaka'!$L$3:$L$502,"=65")</f>
        <v>0</v>
      </c>
      <c r="T57" s="120">
        <f>SUMIFS('Unos prihoda i primitaka'!$I$3:$I$502,'Unos prihoda i primitaka'!$C$3:$C$502,"=63",'Unos prihoda i primitaka'!$L$3:$L$502,"=65")</f>
        <v>0</v>
      </c>
      <c r="U57" s="120">
        <f>SUMIFS('Unos prihoda i primitaka'!$I$3:$I$502,'Unos prihoda i primitaka'!$C$3:$C$502,"=71",'Unos prihoda i primitaka'!$L$3:$L$502,"=65")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35639</v>
      </c>
      <c r="D58" s="120">
        <f>SUMIFS('Unos prihoda i primitaka'!$I$3:$I$502,'Unos prihoda i primitaka'!$C$3:$C$502,"=11",'Unos prihoda i primitaka'!$L$3:$L$502,"=66")</f>
        <v>0</v>
      </c>
      <c r="E58" s="120">
        <f>SUMIFS('Unos prihoda i primitaka'!$I$3:$I$502,'Unos prihoda i primitaka'!$C$3:$C$502,"=12",'Unos prihoda i primitaka'!$L$3:$L$502,"=66")</f>
        <v>0</v>
      </c>
      <c r="F58" s="120">
        <f>SUMIFS('Unos prihoda i primitaka'!$I$3:$I$502,'Unos prihoda i primitaka'!$C$3:$C$502,"=31",'Unos prihoda i primitaka'!$L$3:$L$502,"=66")</f>
        <v>35639</v>
      </c>
      <c r="G58" s="120">
        <f>SUMIFS('Unos prihoda i primitaka'!$I$3:$I$502,'Unos prihoda i primitaka'!$C$3:$C$502,"=41",'Unos prihoda i primitaka'!$L$3:$L$502,"=66")</f>
        <v>0</v>
      </c>
      <c r="H58" s="120">
        <f>SUMIFS('Unos prihoda i primitaka'!$I$3:$I$502,'Unos prihoda i primitaka'!$C$3:$C$502,"=43",'Unos prihoda i primitaka'!$L$3:$L$502,"=66")</f>
        <v>0</v>
      </c>
      <c r="I58" s="120">
        <f>SUMIFS('Unos prihoda i primitaka'!$I$3:$I$502,'Unos prihoda i primitaka'!$C$3:$C$502,"=51",'Unos prihoda i primitaka'!$L$3:$L$502,"=66")</f>
        <v>0</v>
      </c>
      <c r="J58" s="120">
        <f>SUMIFS('Unos prihoda i primitaka'!$I$3:$I$502,'Unos prihoda i primitaka'!$C$3:$C$502,"=52",'Unos prihoda i primitaka'!$L$3:$L$502,"=66")</f>
        <v>0</v>
      </c>
      <c r="K58" s="120">
        <f>SUMIFS('Unos prihoda i primitaka'!$I$3:$I$502,'Unos prihoda i primitaka'!$C$3:$C$502,"=552",'Unos prihoda i primitaka'!$L$3:$L$502,"=66")</f>
        <v>0</v>
      </c>
      <c r="L58" s="120">
        <f>SUMIFS('Unos prihoda i primitaka'!$I$3:$I$502,'Unos prihoda i primitaka'!$C$3:$C$502,"=559",'Unos prihoda i primitaka'!$L$3:$L$502,"=66")</f>
        <v>0</v>
      </c>
      <c r="M58" s="120">
        <f>SUMIFS('Unos prihoda i primitaka'!$I$3:$I$502,'Unos prihoda i primitaka'!$C$3:$C$502,"=561",'Unos prihoda i primitaka'!$L$3:$L$502,"=66")</f>
        <v>0</v>
      </c>
      <c r="N58" s="120">
        <f>SUMIFS('Unos prihoda i primitaka'!$I$3:$I$502,'Unos prihoda i primitaka'!$C$3:$C$502,"=563",'Unos prihoda i primitaka'!$L$3:$L$502,"=66")</f>
        <v>0</v>
      </c>
      <c r="O58" s="120">
        <f>SUMIFS('Unos prihoda i primitaka'!$I$3:$I$502,'Unos prihoda i primitaka'!$C$3:$C$502,"=573",'Unos prihoda i primitaka'!$L$3:$L$502,"=66")</f>
        <v>0</v>
      </c>
      <c r="P58" s="120">
        <f>SUMIFS('Unos prihoda i primitaka'!$I$3:$I$502,'Unos prihoda i primitaka'!$C$3:$C$502,"=575",'Unos prihoda i primitaka'!$L$3:$L$502,"=66")</f>
        <v>0</v>
      </c>
      <c r="Q58" s="120">
        <f>SUMIFS('Unos prihoda i primitaka'!$I$3:$I$502,'Unos prihoda i primitaka'!$C$3:$C$502,"=576",'Unos prihoda i primitaka'!$L$3:$L$502,"=66")</f>
        <v>0</v>
      </c>
      <c r="R58" s="120">
        <f>SUMIFS('Unos prihoda i primitaka'!$I$3:$I$502,'Unos prihoda i primitaka'!$C$3:$C$502,"=581",'Unos prihoda i primitaka'!$L$3:$L$502,"=66")</f>
        <v>0</v>
      </c>
      <c r="S58" s="120">
        <f>SUMIFS('Unos prihoda i primitaka'!$I$3:$I$502,'Unos prihoda i primitaka'!$C$3:$C$502,"=61",'Unos prihoda i primitaka'!$L$3:$L$502,"=66")</f>
        <v>0</v>
      </c>
      <c r="T58" s="120">
        <f>SUMIFS('Unos prihoda i primitaka'!$I$3:$I$502,'Unos prihoda i primitaka'!$C$3:$C$502,"=63",'Unos prihoda i primitaka'!$L$3:$L$502,"=66")</f>
        <v>0</v>
      </c>
      <c r="U58" s="120">
        <f>SUMIFS('Unos prihoda i primitaka'!$I$3:$I$502,'Unos prihoda i primitaka'!$C$3:$C$502,"=71",'Unos prihoda i primitaka'!$L$3:$L$502,"=66")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607650</v>
      </c>
      <c r="D59" s="120">
        <f>SUMIFS('Unos prihoda i primitaka'!$I$3:$I$502,'Unos prihoda i primitaka'!$C$3:$C$502,"=11",'Unos prihoda i primitaka'!$L$3:$L$502,"=67")</f>
        <v>607650</v>
      </c>
      <c r="E59" s="120">
        <f>SUMIFS('Unos prihoda i primitaka'!$I$3:$I$502,'Unos prihoda i primitaka'!$C$3:$C$502,"=12",'Unos prihoda i primitaka'!$L$3:$L$502,"=67")</f>
        <v>0</v>
      </c>
      <c r="F59" s="120">
        <f>SUMIFS('Unos prihoda i primitaka'!$I$3:$I$502,'Unos prihoda i primitaka'!$C$3:$C$502,"=31",'Unos prihoda i primitaka'!$L$3:$L$502,"=67")</f>
        <v>0</v>
      </c>
      <c r="G59" s="120">
        <f>SUMIFS('Unos prihoda i primitaka'!$I$3:$I$502,'Unos prihoda i primitaka'!$C$3:$C$502,"=41",'Unos prihoda i primitaka'!$L$3:$L$502,"=67")</f>
        <v>0</v>
      </c>
      <c r="H59" s="120">
        <f>SUMIFS('Unos prihoda i primitaka'!$I$3:$I$502,'Unos prihoda i primitaka'!$C$3:$C$502,"=43",'Unos prihoda i primitaka'!$L$3:$L$502,"=67")</f>
        <v>0</v>
      </c>
      <c r="I59" s="120">
        <f>SUMIFS('Unos prihoda i primitaka'!$I$3:$I$502,'Unos prihoda i primitaka'!$C$3:$C$502,"=51",'Unos prihoda i primitaka'!$L$3:$L$502,"=67")</f>
        <v>0</v>
      </c>
      <c r="J59" s="120">
        <f>SUMIFS('Unos prihoda i primitaka'!$I$3:$I$502,'Unos prihoda i primitaka'!$C$3:$C$502,"=52",'Unos prihoda i primitaka'!$L$3:$L$502,"=67")</f>
        <v>0</v>
      </c>
      <c r="K59" s="120">
        <f>SUMIFS('Unos prihoda i primitaka'!$I$3:$I$502,'Unos prihoda i primitaka'!$C$3:$C$502,"=552",'Unos prihoda i primitaka'!$L$3:$L$502,"=67")</f>
        <v>0</v>
      </c>
      <c r="L59" s="120">
        <f>SUMIFS('Unos prihoda i primitaka'!$I$3:$I$502,'Unos prihoda i primitaka'!$C$3:$C$502,"=559",'Unos prihoda i primitaka'!$L$3:$L$502,"=67")</f>
        <v>0</v>
      </c>
      <c r="M59" s="120">
        <f>SUMIFS('Unos prihoda i primitaka'!$I$3:$I$502,'Unos prihoda i primitaka'!$C$3:$C$502,"=561",'Unos prihoda i primitaka'!$L$3:$L$502,"=67")</f>
        <v>0</v>
      </c>
      <c r="N59" s="120">
        <f>SUMIFS('Unos prihoda i primitaka'!$I$3:$I$502,'Unos prihoda i primitaka'!$C$3:$C$502,"=563",'Unos prihoda i primitaka'!$L$3:$L$502,"=67")</f>
        <v>0</v>
      </c>
      <c r="O59" s="120">
        <f>SUMIFS('Unos prihoda i primitaka'!$I$3:$I$502,'Unos prihoda i primitaka'!$C$3:$C$502,"=573",'Unos prihoda i primitaka'!$L$3:$L$502,"=67")</f>
        <v>0</v>
      </c>
      <c r="P59" s="120">
        <f>SUMIFS('Unos prihoda i primitaka'!$I$3:$I$502,'Unos prihoda i primitaka'!$C$3:$C$502,"=575",'Unos prihoda i primitaka'!$L$3:$L$502,"=67")</f>
        <v>0</v>
      </c>
      <c r="Q59" s="120">
        <f>SUMIFS('Unos prihoda i primitaka'!$I$3:$I$502,'Unos prihoda i primitaka'!$C$3:$C$502,"=576",'Unos prihoda i primitaka'!$L$3:$L$502,"=67")</f>
        <v>0</v>
      </c>
      <c r="R59" s="120">
        <f>SUMIFS('Unos prihoda i primitaka'!$I$3:$I$502,'Unos prihoda i primitaka'!$C$3:$C$502,"=581",'Unos prihoda i primitaka'!$L$3:$L$502,"=67")</f>
        <v>0</v>
      </c>
      <c r="S59" s="120">
        <f>SUMIFS('Unos prihoda i primitaka'!$I$3:$I$502,'Unos prihoda i primitaka'!$C$3:$C$502,"=61",'Unos prihoda i primitaka'!$L$3:$L$502,"=67")</f>
        <v>0</v>
      </c>
      <c r="T59" s="120">
        <f>SUMIFS('Unos prihoda i primitaka'!$I$3:$I$502,'Unos prihoda i primitaka'!$C$3:$C$502,"=63",'Unos prihoda i primitaka'!$L$3:$L$502,"=67")</f>
        <v>0</v>
      </c>
      <c r="U59" s="120">
        <f>SUMIFS('Unos prihoda i primitaka'!$I$3:$I$502,'Unos prihoda i primitaka'!$C$3:$C$502,"=71",'Unos prihoda i primitaka'!$L$3:$L$502,"=67")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25</v>
      </c>
      <c r="D60" s="120">
        <f>SUMIFS('Unos prihoda i primitaka'!$I$3:$I$502,'Unos prihoda i primitaka'!$C$3:$C$502,"=11",'Unos prihoda i primitaka'!$L$3:$L$502,"=68")</f>
        <v>0</v>
      </c>
      <c r="E60" s="120">
        <f>SUMIFS('Unos prihoda i primitaka'!$I$3:$I$502,'Unos prihoda i primitaka'!$C$3:$C$502,"=12",'Unos prihoda i primitaka'!$L$3:$L$502,"=68")</f>
        <v>0</v>
      </c>
      <c r="F60" s="120">
        <f>SUMIFS('Unos prihoda i primitaka'!$I$3:$I$502,'Unos prihoda i primitaka'!$C$3:$C$502,"=31",'Unos prihoda i primitaka'!$L$3:$L$502,"=68")</f>
        <v>10</v>
      </c>
      <c r="G60" s="120">
        <f>SUMIFS('Unos prihoda i primitaka'!$I$3:$I$502,'Unos prihoda i primitaka'!$C$3:$C$502,"=41",'Unos prihoda i primitaka'!$L$3:$L$502,"=68")</f>
        <v>0</v>
      </c>
      <c r="H60" s="120">
        <f>SUMIFS('Unos prihoda i primitaka'!$I$3:$I$502,'Unos prihoda i primitaka'!$C$3:$C$502,"=43",'Unos prihoda i primitaka'!$L$3:$L$502,"=68")</f>
        <v>15</v>
      </c>
      <c r="I60" s="120">
        <f>SUMIFS('Unos prihoda i primitaka'!$I$3:$I$502,'Unos prihoda i primitaka'!$C$3:$C$502,"=51",'Unos prihoda i primitaka'!$L$3:$L$502,"=68")</f>
        <v>0</v>
      </c>
      <c r="J60" s="120">
        <f>SUMIFS('Unos prihoda i primitaka'!$I$3:$I$502,'Unos prihoda i primitaka'!$C$3:$C$502,"=52",'Unos prihoda i primitaka'!$L$3:$L$502,"=68")</f>
        <v>0</v>
      </c>
      <c r="K60" s="120">
        <f>SUMIFS('Unos prihoda i primitaka'!$I$3:$I$502,'Unos prihoda i primitaka'!$C$3:$C$502,"=552",'Unos prihoda i primitaka'!$L$3:$L$502,"=68")</f>
        <v>0</v>
      </c>
      <c r="L60" s="120">
        <f>SUMIFS('Unos prihoda i primitaka'!$I$3:$I$502,'Unos prihoda i primitaka'!$C$3:$C$502,"=559",'Unos prihoda i primitaka'!$L$3:$L$502,"=68")</f>
        <v>0</v>
      </c>
      <c r="M60" s="120">
        <f>SUMIFS('Unos prihoda i primitaka'!$I$3:$I$502,'Unos prihoda i primitaka'!$C$3:$C$502,"=561",'Unos prihoda i primitaka'!$L$3:$L$502,"=68")</f>
        <v>0</v>
      </c>
      <c r="N60" s="120">
        <f>SUMIFS('Unos prihoda i primitaka'!$I$3:$I$502,'Unos prihoda i primitaka'!$C$3:$C$502,"=563",'Unos prihoda i primitaka'!$L$3:$L$502,"=68")</f>
        <v>0</v>
      </c>
      <c r="O60" s="120">
        <f>SUMIFS('Unos prihoda i primitaka'!$I$3:$I$502,'Unos prihoda i primitaka'!$C$3:$C$502,"=573",'Unos prihoda i primitaka'!$L$3:$L$502,"=68")</f>
        <v>0</v>
      </c>
      <c r="P60" s="120">
        <f>SUMIFS('Unos prihoda i primitaka'!$I$3:$I$502,'Unos prihoda i primitaka'!$C$3:$C$502,"=575",'Unos prihoda i primitaka'!$L$3:$L$502,"=68")</f>
        <v>0</v>
      </c>
      <c r="Q60" s="120">
        <f>SUMIFS('Unos prihoda i primitaka'!$I$3:$I$502,'Unos prihoda i primitaka'!$C$3:$C$502,"=576",'Unos prihoda i primitaka'!$L$3:$L$502,"=68")</f>
        <v>0</v>
      </c>
      <c r="R60" s="120">
        <f>SUMIFS('Unos prihoda i primitaka'!$I$3:$I$502,'Unos prihoda i primitaka'!$C$3:$C$502,"=581",'Unos prihoda i primitaka'!$L$3:$L$502,"=68")</f>
        <v>0</v>
      </c>
      <c r="S60" s="120">
        <f>SUMIFS('Unos prihoda i primitaka'!$I$3:$I$502,'Unos prihoda i primitaka'!$C$3:$C$502,"=61",'Unos prihoda i primitaka'!$L$3:$L$502,"=68")</f>
        <v>0</v>
      </c>
      <c r="T60" s="120">
        <f>SUMIFS('Unos prihoda i primitaka'!$I$3:$I$502,'Unos prihoda i primitaka'!$C$3:$C$502,"=63",'Unos prihoda i primitaka'!$L$3:$L$502,"=68")</f>
        <v>0</v>
      </c>
      <c r="U60" s="120">
        <f>SUMIFS('Unos prihoda i primitaka'!$I$3:$I$502,'Unos prihoda i primitaka'!$C$3:$C$502,"=71",'Unos prihoda i primitaka'!$L$3:$L$502,"=68")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833742</v>
      </c>
      <c r="D61" s="3">
        <f t="shared" ref="D61:U61" si="10">SUM(D48:D60)</f>
        <v>607650</v>
      </c>
      <c r="E61" s="3">
        <f t="shared" si="10"/>
        <v>0</v>
      </c>
      <c r="F61" s="3">
        <f t="shared" si="10"/>
        <v>35667</v>
      </c>
      <c r="G61" s="3">
        <f t="shared" si="10"/>
        <v>0</v>
      </c>
      <c r="H61" s="3">
        <f t="shared" si="10"/>
        <v>132027</v>
      </c>
      <c r="I61" s="3">
        <f t="shared" si="10"/>
        <v>0</v>
      </c>
      <c r="J61" s="3">
        <f t="shared" si="10"/>
        <v>58398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primitaka'!$I$3:$I$502,'Unos prihoda i primitaka'!$C$3:$C$502,"=11",'Unos prihoda i primitaka'!$L$3:$L$502,"=71")</f>
        <v>0</v>
      </c>
      <c r="E62" s="120">
        <f>SUMIFS('Unos prihoda i primitaka'!$I$3:$I$502,'Unos prihoda i primitaka'!$C$3:$C$502,"=12",'Unos prihoda i primitaka'!$L$3:$L$502,"=71")</f>
        <v>0</v>
      </c>
      <c r="F62" s="120">
        <f>SUMIFS('Unos prihoda i primitaka'!$I$3:$I$502,'Unos prihoda i primitaka'!$C$3:$C$502,"=31",'Unos prihoda i primitaka'!$L$3:$L$502,"=71")</f>
        <v>0</v>
      </c>
      <c r="G62" s="120">
        <f>SUMIFS('Unos prihoda i primitaka'!$I$3:$I$502,'Unos prihoda i primitaka'!$C$3:$C$502,"=41",'Unos prihoda i primitaka'!$L$3:$L$502,"=71")</f>
        <v>0</v>
      </c>
      <c r="H62" s="120">
        <f>SUMIFS('Unos prihoda i primitaka'!$I$3:$I$502,'Unos prihoda i primitaka'!$C$3:$C$502,"=43",'Unos prihoda i primitaka'!$L$3:$L$502,"=71")</f>
        <v>0</v>
      </c>
      <c r="I62" s="120">
        <f>SUMIFS('Unos prihoda i primitaka'!$I$3:$I$502,'Unos prihoda i primitaka'!$C$3:$C$502,"=51",'Unos prihoda i primitaka'!$L$3:$L$502,"=71")</f>
        <v>0</v>
      </c>
      <c r="J62" s="120">
        <f>SUMIFS('Unos prihoda i primitaka'!$I$3:$I$502,'Unos prihoda i primitaka'!$C$3:$C$502,"=52",'Unos prihoda i primitaka'!$L$3:$L$502,"=71")</f>
        <v>0</v>
      </c>
      <c r="K62" s="120">
        <f>SUMIFS('Unos prihoda i primitaka'!$I$3:$I$502,'Unos prihoda i primitaka'!$C$3:$C$502,"=552",'Unos prihoda i primitaka'!$L$3:$L$502,"=71")</f>
        <v>0</v>
      </c>
      <c r="L62" s="120">
        <f>SUMIFS('Unos prihoda i primitaka'!$I$3:$I$502,'Unos prihoda i primitaka'!$C$3:$C$502,"=559",'Unos prihoda i primitaka'!$L$3:$L$502,"=71")</f>
        <v>0</v>
      </c>
      <c r="M62" s="120">
        <f>SUMIFS('Unos prihoda i primitaka'!$I$3:$I$502,'Unos prihoda i primitaka'!$C$3:$C$502,"=561",'Unos prihoda i primitaka'!$L$3:$L$502,"=71")</f>
        <v>0</v>
      </c>
      <c r="N62" s="120">
        <f>SUMIFS('Unos prihoda i primitaka'!$I$3:$I$502,'Unos prihoda i primitaka'!$C$3:$C$502,"=563",'Unos prihoda i primitaka'!$L$3:$L$502,"=71")</f>
        <v>0</v>
      </c>
      <c r="O62" s="120">
        <f>SUMIFS('Unos prihoda i primitaka'!$I$3:$I$502,'Unos prihoda i primitaka'!$C$3:$C$502,"=573",'Unos prihoda i primitaka'!$L$3:$L$502,"=71")</f>
        <v>0</v>
      </c>
      <c r="P62" s="120">
        <f>SUMIFS('Unos prihoda i primitaka'!$I$3:$I$502,'Unos prihoda i primitaka'!$C$3:$C$502,"=575",'Unos prihoda i primitaka'!$L$3:$L$502,"=71")</f>
        <v>0</v>
      </c>
      <c r="Q62" s="120">
        <f>SUMIFS('Unos prihoda i primitaka'!$I$3:$I$502,'Unos prihoda i primitaka'!$C$3:$C$502,"=576",'Unos prihoda i primitaka'!$L$3:$L$502,"=71")</f>
        <v>0</v>
      </c>
      <c r="R62" s="120">
        <f>SUMIFS('Unos prihoda i primitaka'!$I$3:$I$502,'Unos prihoda i primitaka'!$C$3:$C$502,"=581",'Unos prihoda i primitaka'!$L$3:$L$502,"=71")</f>
        <v>0</v>
      </c>
      <c r="S62" s="120">
        <f>SUMIFS('Unos prihoda i primitaka'!$I$3:$I$502,'Unos prihoda i primitaka'!$C$3:$C$502,"=61",'Unos prihoda i primitaka'!$L$3:$L$502,"=71")</f>
        <v>0</v>
      </c>
      <c r="T62" s="120">
        <f>SUMIFS('Unos prihoda i primitaka'!$I$3:$I$502,'Unos prihoda i primitaka'!$C$3:$C$502,"=63",'Unos prihoda i primitaka'!$L$3:$L$502,"=71")</f>
        <v>0</v>
      </c>
      <c r="U62" s="120">
        <f>SUMIFS('Unos prihoda i primitaka'!$I$3:$I$502,'Unos prihoda i primitaka'!$C$3:$C$502,"=71",'Unos prihoda i primitaka'!$L$3:$L$502,"=71")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primitaka'!$I$3:$I$502,'Unos prihoda i primitaka'!$C$3:$C$502,"=11",'Unos prihoda i primitaka'!$L$3:$L$502,"=72")</f>
        <v>0</v>
      </c>
      <c r="E63" s="120">
        <f>SUMIFS('Unos prihoda i primitaka'!$I$3:$I$502,'Unos prihoda i primitaka'!$C$3:$C$502,"=12",'Unos prihoda i primitaka'!$L$3:$L$502,"=72")</f>
        <v>0</v>
      </c>
      <c r="F63" s="120">
        <f>SUMIFS('Unos prihoda i primitaka'!$I$3:$I$502,'Unos prihoda i primitaka'!$C$3:$C$502,"=31",'Unos prihoda i primitaka'!$L$3:$L$502,"=72")</f>
        <v>0</v>
      </c>
      <c r="G63" s="120">
        <f>SUMIFS('Unos prihoda i primitaka'!$I$3:$I$502,'Unos prihoda i primitaka'!$C$3:$C$502,"=41",'Unos prihoda i primitaka'!$L$3:$L$502,"=72")</f>
        <v>0</v>
      </c>
      <c r="H63" s="120">
        <f>SUMIFS('Unos prihoda i primitaka'!$I$3:$I$502,'Unos prihoda i primitaka'!$C$3:$C$502,"=43",'Unos prihoda i primitaka'!$L$3:$L$502,"=72")</f>
        <v>0</v>
      </c>
      <c r="I63" s="120">
        <f>SUMIFS('Unos prihoda i primitaka'!$I$3:$I$502,'Unos prihoda i primitaka'!$C$3:$C$502,"=51",'Unos prihoda i primitaka'!$L$3:$L$502,"=72")</f>
        <v>0</v>
      </c>
      <c r="J63" s="120">
        <f>SUMIFS('Unos prihoda i primitaka'!$I$3:$I$502,'Unos prihoda i primitaka'!$C$3:$C$502,"=52",'Unos prihoda i primitaka'!$L$3:$L$502,"=72")</f>
        <v>0</v>
      </c>
      <c r="K63" s="120">
        <f>SUMIFS('Unos prihoda i primitaka'!$I$3:$I$502,'Unos prihoda i primitaka'!$C$3:$C$502,"=552",'Unos prihoda i primitaka'!$L$3:$L$502,"=72")</f>
        <v>0</v>
      </c>
      <c r="L63" s="120">
        <f>SUMIFS('Unos prihoda i primitaka'!$I$3:$I$502,'Unos prihoda i primitaka'!$C$3:$C$502,"=559",'Unos prihoda i primitaka'!$L$3:$L$502,"=72")</f>
        <v>0</v>
      </c>
      <c r="M63" s="120">
        <f>SUMIFS('Unos prihoda i primitaka'!$I$3:$I$502,'Unos prihoda i primitaka'!$C$3:$C$502,"=561",'Unos prihoda i primitaka'!$L$3:$L$502,"=72")</f>
        <v>0</v>
      </c>
      <c r="N63" s="120">
        <f>SUMIFS('Unos prihoda i primitaka'!$I$3:$I$502,'Unos prihoda i primitaka'!$C$3:$C$502,"=563",'Unos prihoda i primitaka'!$L$3:$L$502,"=72")</f>
        <v>0</v>
      </c>
      <c r="O63" s="120">
        <f>SUMIFS('Unos prihoda i primitaka'!$I$3:$I$502,'Unos prihoda i primitaka'!$C$3:$C$502,"=573",'Unos prihoda i primitaka'!$L$3:$L$502,"=72")</f>
        <v>0</v>
      </c>
      <c r="P63" s="120">
        <f>SUMIFS('Unos prihoda i primitaka'!$I$3:$I$502,'Unos prihoda i primitaka'!$C$3:$C$502,"=575",'Unos prihoda i primitaka'!$L$3:$L$502,"=72")</f>
        <v>0</v>
      </c>
      <c r="Q63" s="120">
        <f>SUMIFS('Unos prihoda i primitaka'!$I$3:$I$502,'Unos prihoda i primitaka'!$C$3:$C$502,"=576",'Unos prihoda i primitaka'!$L$3:$L$502,"=72")</f>
        <v>0</v>
      </c>
      <c r="R63" s="120">
        <f>SUMIFS('Unos prihoda i primitaka'!$I$3:$I$502,'Unos prihoda i primitaka'!$C$3:$C$502,"=581",'Unos prihoda i primitaka'!$L$3:$L$502,"=72")</f>
        <v>0</v>
      </c>
      <c r="S63" s="120">
        <f>SUMIFS('Unos prihoda i primitaka'!$I$3:$I$502,'Unos prihoda i primitaka'!$C$3:$C$502,"=61",'Unos prihoda i primitaka'!$L$3:$L$502,"=72")</f>
        <v>0</v>
      </c>
      <c r="T63" s="120">
        <f>SUMIFS('Unos prihoda i primitaka'!$I$3:$I$502,'Unos prihoda i primitaka'!$C$3:$C$502,"=63",'Unos prihoda i primitaka'!$L$3:$L$502,"=72")</f>
        <v>0</v>
      </c>
      <c r="U63" s="120">
        <f>SUMIFS('Unos prihoda i primitaka'!$I$3:$I$502,'Unos prihoda i primitaka'!$C$3:$C$502,"=71",'Unos prihoda i primitaka'!$L$3:$L$502,"=72")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57" sqref="I57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3" t="s">
        <v>5105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2023</v>
      </c>
      <c r="B4" s="335" t="s">
        <v>5265</v>
      </c>
      <c r="C4" s="60">
        <f>SUM(D4:V4)</f>
        <v>770553</v>
      </c>
      <c r="D4" s="61">
        <f>D5+D32</f>
        <v>731879</v>
      </c>
      <c r="E4" s="61">
        <f t="shared" ref="E4:V4" si="0">E5+E32</f>
        <v>0</v>
      </c>
      <c r="F4" s="61">
        <f t="shared" si="0"/>
        <v>0</v>
      </c>
      <c r="G4" s="61">
        <f t="shared" si="0"/>
        <v>0</v>
      </c>
      <c r="H4" s="61">
        <f t="shared" si="0"/>
        <v>17886</v>
      </c>
      <c r="I4" s="61">
        <f t="shared" si="0"/>
        <v>0</v>
      </c>
      <c r="J4" s="61">
        <f>J5+J32</f>
        <v>20788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735047</v>
      </c>
      <c r="D5" s="68">
        <f>+D6+D12+D17+D21+D25+D30+D31</f>
        <v>696373</v>
      </c>
      <c r="E5" s="68">
        <f t="shared" ref="E5:V5" si="1">+E6+E12+E17+E21+E25+E30+E31</f>
        <v>0</v>
      </c>
      <c r="F5" s="68">
        <f t="shared" si="1"/>
        <v>0</v>
      </c>
      <c r="G5" s="68">
        <f t="shared" si="1"/>
        <v>0</v>
      </c>
      <c r="H5" s="68">
        <f t="shared" si="1"/>
        <v>17886</v>
      </c>
      <c r="I5" s="68">
        <f t="shared" si="1"/>
        <v>0</v>
      </c>
      <c r="J5" s="68">
        <f t="shared" si="1"/>
        <v>20788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582507</v>
      </c>
      <c r="D6" s="74">
        <f>SUMIFS('Unos rashoda i izdataka'!$J$3:$J$524,'Unos rashoda i izdataka'!$C$3:$C$524,"=11",'Unos rashoda i izdataka'!$P$3:$P$524,"=31")+SUMIFS('Unos rashoda P4'!$H$3:$H$501,'Unos rashoda P4'!$A$3:$A$501,"=11",'Unos rashoda P4'!$S$3:$S$501,"=31")</f>
        <v>567117</v>
      </c>
      <c r="E6" s="74">
        <f>SUMIFS('Unos rashoda i izdataka'!$J$3:$J$524,'Unos rashoda i izdataka'!$C$3:$C$524,"=12",'Unos rashoda i izdataka'!$P$3:$P$524,"=31")+SUMIFS('Unos rashoda P4'!$H$3:$H$501,'Unos rashoda P4'!$A$3:$A$501,"=12",'Unos rashoda P4'!$S$3:$S$501,"=31")</f>
        <v>0</v>
      </c>
      <c r="F6" s="74">
        <f>SUMIFS('Unos rashoda i izdataka'!$J$3:$J$524,'Unos rashoda i izdataka'!$C$3:$C$524,"=31",'Unos rashoda i izdataka'!$P$3:$P$524,"=31")+SUMIFS('Unos rashoda P4'!$H$3:$H$501,'Unos rashoda P4'!$A$3:$A$501,"=31",'Unos rashoda P4'!$S$3:$S$501,"=31")</f>
        <v>0</v>
      </c>
      <c r="G6" s="74">
        <f>SUMIFS('Unos rashoda i izdataka'!$J$3:$J$524,'Unos rashoda i izdataka'!$C$3:$C$524,"=41",'Unos rashoda i izdataka'!$P$3:$P$524,"=31")+SUMIFS('Unos rashoda P4'!$H$3:$H$501,'Unos rashoda P4'!$A$3:$A$501,"=41",'Unos rashoda P4'!$S$3:$S$501,"=31")</f>
        <v>0</v>
      </c>
      <c r="H6" s="74">
        <f>SUMIFS('Unos rashoda i izdataka'!$J$3:$J$524,'Unos rashoda i izdataka'!$C$3:$C$524,"=43",'Unos rashoda i izdataka'!$P$3:$P$524,"=31")+SUMIFS('Unos rashoda P4'!$H$3:$H$501,'Unos rashoda P4'!$A$3:$A$501,"=43",'Unos rashoda P4'!$S$3:$S$501,"=31")</f>
        <v>13190</v>
      </c>
      <c r="I6" s="74">
        <f>SUMIFS('Unos rashoda i izdataka'!$J$3:$J$524,'Unos rashoda i izdataka'!$C$3:$C$524,"=51",'Unos rashoda i izdataka'!$P$3:$P$524,"=31")+SUMIFS('Unos rashoda P4'!$H$3:$H$501,'Unos rashoda P4'!$A$3:$A$501,"=51",'Unos rashoda P4'!$S$3:$S$501,"=31")</f>
        <v>0</v>
      </c>
      <c r="J6" s="74">
        <f>SUMIFS('Unos rashoda i izdataka'!$J$3:$J$524,'Unos rashoda i izdataka'!$C$3:$C$524,"=52",'Unos rashoda i izdataka'!$P$3:$P$524,"=31")+SUMIFS('Unos rashoda P4'!$H$3:$H$501,'Unos rashoda P4'!$A$3:$A$501,"=52",'Unos rashoda P4'!$S$3:$S$501,"=31")</f>
        <v>2200</v>
      </c>
      <c r="K6" s="74">
        <f>SUMIFS('Unos rashoda i izdataka'!$J$3:$J$524,'Unos rashoda i izdataka'!$C$3:$C$524,"=552",'Unos rashoda i izdataka'!$P$3:$P$524,"=31")+SUMIFS('Unos rashoda P4'!$H$3:$H$501,'Unos rashoda P4'!$A$3:$A$501,"=552",'Unos rashoda P4'!$S$3:$S$501,"=31")</f>
        <v>0</v>
      </c>
      <c r="L6" s="74">
        <f>SUMIFS('Unos rashoda i izdataka'!$J$3:$J$524,'Unos rashoda i izdataka'!$C$3:$C$524,"=559",'Unos rashoda i izdataka'!$P$3:$P$524,"=31")+SUMIFS('Unos rashoda P4'!$H$3:$H$501,'Unos rashoda P4'!$A$3:$A$501,"=559",'Unos rashoda P4'!$S$3:$S$501,"=31")</f>
        <v>0</v>
      </c>
      <c r="M6" s="74">
        <f>SUMIFS('Unos rashoda i izdataka'!$J$3:$J$524,'Unos rashoda i izdataka'!$C$3:$C$524,"=561",'Unos rashoda i izdataka'!$P$3:$P$524,"=31")+SUMIFS('Unos rashoda P4'!$H$3:$H$501,'Unos rashoda P4'!$A$3:$A$501,"=561",'Unos rashoda P4'!$S$3:$S$501,"=31")</f>
        <v>0</v>
      </c>
      <c r="N6" s="74">
        <f>SUMIFS('Unos rashoda i izdataka'!$J$3:$J$524,'Unos rashoda i izdataka'!$C$3:$C$524,"=563",'Unos rashoda i izdataka'!$P$3:$P$524,"=31")+SUMIFS('Unos rashoda P4'!$H$3:$H$501,'Unos rashoda P4'!$A$3:$A$501,"=563",'Unos rashoda P4'!$S$3:$S$501,"=31")</f>
        <v>0</v>
      </c>
      <c r="O6" s="74">
        <f>SUMIFS('Unos rashoda i izdataka'!$J$3:$J$524,'Unos rashoda i izdataka'!$C$3:$C$524,"=573",'Unos rashoda i izdataka'!$P$3:$P$524,"=31")+SUMIFS('Unos rashoda P4'!$H$3:$H$501,'Unos rashoda P4'!$A$3:$A$501,"=573",'Unos rashoda P4'!$S$3:$S$501,"=31")</f>
        <v>0</v>
      </c>
      <c r="P6" s="74">
        <f>SUMIFS('Unos rashoda i izdataka'!$J$3:$J$524,'Unos rashoda i izdataka'!$C$3:$C$524,"=575",'Unos rashoda i izdataka'!$P$3:$P$524,"=31")+SUMIFS('Unos rashoda P4'!$H$3:$H$501,'Unos rashoda P4'!$A$3:$A$501,"=575",'Unos rashoda P4'!$S$3:$S$501,"=31")</f>
        <v>0</v>
      </c>
      <c r="Q6" s="74">
        <f>SUMIFS('Unos rashoda i izdataka'!$J$3:$J$524,'Unos rashoda i izdataka'!$Q$3:$Q$524,"=576",'Unos rashoda i izdataka'!$P$3:$P$524,"=31")+SUMIFS('Unos rashoda P4'!$H$3:$H$501,'Unos rashoda P4'!$A$3:$A$501,"=576",'Unos rashoda P4'!$S$3:$S$501,"=31")</f>
        <v>0</v>
      </c>
      <c r="R6" s="74">
        <f>SUMIFS('Unos rashoda i izdataka'!$J$3:$J$524,'Unos rashoda i izdataka'!$C$3:$C$524,"=581",'Unos rashoda i izdataka'!$P$3:$P$524,"=31")+SUMIFS('Unos rashoda P4'!$H$3:$H$501,'Unos rashoda P4'!$A$3:$A$501,"=581",'Unos rashoda P4'!$S$3:$S$501,"=31")</f>
        <v>0</v>
      </c>
      <c r="S6" s="74">
        <f>SUMIFS('Unos rashoda i izdataka'!$J$3:$J$524,'Unos rashoda i izdataka'!$C$3:$C$524,"=61",'Unos rashoda i izdataka'!$P$3:$P$524,"=31")+SUMIFS('Unos rashoda P4'!$H$3:$H$501,'Unos rashoda P4'!$A$3:$A$501,"=61",'Unos rashoda P4'!$S$3:$S$501,"=31")</f>
        <v>0</v>
      </c>
      <c r="T6" s="74">
        <f>SUMIFS('Unos rashoda i izdataka'!$J$3:$J$524,'Unos rashoda i izdataka'!$C$3:$C$524,"=63",'Unos rashoda i izdataka'!$P$3:$P$524,"=31")+SUMIFS('Unos rashoda P4'!$H$3:$H$501,'Unos rashoda P4'!$A$3:$A$501,"=63",'Unos rashoda P4'!$S$3:$S$501,"=31")</f>
        <v>0</v>
      </c>
      <c r="U6" s="74">
        <f>SUMIFS('Unos rashoda i izdataka'!$J$3:$J$524,'Unos rashoda i izdataka'!$C$3:$C$524,"=71",'Unos rashoda i izdataka'!$P$3:$P$524,"=31")+SUMIFS('Unos rashoda P4'!$H$3:$H$501,'Unos rashoda P4'!$A$3:$A$501,"=71",'Unos rashoda P4'!$S$3:$S$501,"=31")</f>
        <v>0</v>
      </c>
      <c r="V6" s="74">
        <f>SUMIFS('Unos rashoda i izdataka'!$J$3:$J$524,'Unos rashoda i izdataka'!$C$3:$C$524,"=81",'Unos rashoda i izdataka'!$P$3:$P$524,"=31")+SUMIFS('Unos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147939</v>
      </c>
      <c r="D12" s="74">
        <f>SUMIFS('Unos rashoda i izdataka'!$J$3:$J$524,'Unos rashoda i izdataka'!$C$3:$C$524,"=11",'Unos rashoda i izdataka'!$P$3:$P$524,"=32")+SUMIFS('Unos rashoda P4'!$H$3:$H$501,'Unos rashoda P4'!$A$3:$A$501,"=11",'Unos rashoda P4'!$S$3:$S$501,"=32")</f>
        <v>125982</v>
      </c>
      <c r="E12" s="74">
        <f>SUMIFS('Unos rashoda i izdataka'!$J$3:$J$524,'Unos rashoda i izdataka'!$C$3:$C$524,"=12",'Unos rashoda i izdataka'!$P$3:$P$524,"=32")+SUMIFS('Unos rashoda P4'!$H$3:$H$501,'Unos rashoda P4'!$A$3:$A$501,"=12",'Unos rashoda P4'!$S$3:$S$501,"=32")</f>
        <v>0</v>
      </c>
      <c r="F12" s="74">
        <f>SUMIFS('Unos rashoda i izdataka'!$J$3:$J$524,'Unos rashoda i izdataka'!$C$3:$C$524,"=31",'Unos rashoda i izdataka'!$P$3:$P$524,"=32")+SUMIFS('Unos rashoda P4'!$H$3:$H$501,'Unos rashoda P4'!$A$3:$A$501,"=31",'Unos rashoda P4'!$S$3:$S$501,"=32")</f>
        <v>0</v>
      </c>
      <c r="G12" s="74">
        <f>SUMIFS('Unos rashoda i izdataka'!$J$3:$J$524,'Unos rashoda i izdataka'!$C$3:$C$524,"=41",'Unos rashoda i izdataka'!$P$3:$P$524,"=32")+SUMIFS('Unos rashoda P4'!$H$3:$H$501,'Unos rashoda P4'!$A$3:$A$501,"=41",'Unos rashoda P4'!$S$3:$S$501,"=32")</f>
        <v>0</v>
      </c>
      <c r="H12" s="74">
        <f>SUMIFS('Unos rashoda i izdataka'!$J$3:$J$524,'Unos rashoda i izdataka'!$C$3:$C$524,"=43",'Unos rashoda i izdataka'!$P$3:$P$524,"=32")+SUMIFS('Unos rashoda P4'!$H$3:$H$501,'Unos rashoda P4'!$A$3:$A$501,"=43",'Unos rashoda P4'!$S$3:$S$501,"=32")</f>
        <v>4696</v>
      </c>
      <c r="I12" s="74">
        <f>SUMIFS('Unos rashoda i izdataka'!$J$3:$J$524,'Unos rashoda i izdataka'!$C$3:$C$524,"=51",'Unos rashoda i izdataka'!$P$3:$P$524,"=32")+SUMIFS('Unos rashoda P4'!$H$3:$H$501,'Unos rashoda P4'!$A$3:$A$501,"=51",'Unos rashoda P4'!$S$3:$S$501,"=32")</f>
        <v>0</v>
      </c>
      <c r="J12" s="74">
        <f>SUMIFS('Unos rashoda i izdataka'!$J$3:$J$524,'Unos rashoda i izdataka'!$C$3:$C$524,"=52",'Unos rashoda i izdataka'!$P$3:$P$524,"=32")+SUMIFS('Unos rashoda P4'!$H$3:$H$501,'Unos rashoda P4'!$A$3:$A$501,"=52",'Unos rashoda P4'!$S$3:$S$501,"=32")</f>
        <v>17261</v>
      </c>
      <c r="K12" s="74">
        <f>SUMIFS('Unos rashoda i izdataka'!$J$3:$J$524,'Unos rashoda i izdataka'!$C$3:$C$524,"=552",'Unos rashoda i izdataka'!$P$3:$P$524,"=32")+SUMIFS('Unos rashoda P4'!$H$3:$H$501,'Unos rashoda P4'!$A$3:$A$501,"=552",'Unos rashoda P4'!$S$3:$S$501,"=32")</f>
        <v>0</v>
      </c>
      <c r="L12" s="74">
        <f>SUMIFS('Unos rashoda i izdataka'!$J$3:$J$524,'Unos rashoda i izdataka'!$C$3:$C$524,"=559",'Unos rashoda i izdataka'!$P$3:$P$524,"=32")+SUMIFS('Unos rashoda P4'!$H$3:$H$501,'Unos rashoda P4'!$A$3:$A$501,"=559",'Unos rashoda P4'!$S$3:$S$501,"=32")</f>
        <v>0</v>
      </c>
      <c r="M12" s="74">
        <f>SUMIFS('Unos rashoda i izdataka'!$J$3:$J$524,'Unos rashoda i izdataka'!$C$3:$C$524,"=561",'Unos rashoda i izdataka'!$P$3:$P$524,"=32")+SUMIFS('Unos rashoda P4'!$H$3:$H$501,'Unos rashoda P4'!$A$3:$A$501,"=561",'Unos rashoda P4'!$S$3:$S$501,"=32")</f>
        <v>0</v>
      </c>
      <c r="N12" s="74">
        <f>SUMIFS('Unos rashoda i izdataka'!$J$3:$J$524,'Unos rashoda i izdataka'!$C$3:$C$524,"=563",'Unos rashoda i izdataka'!$P$3:$P$524,"=32")+SUMIFS('Unos rashoda P4'!$H$3:$H$501,'Unos rashoda P4'!$A$3:$A$501,"=563",'Unos rashoda P4'!$S$3:$S$501,"=32")</f>
        <v>0</v>
      </c>
      <c r="O12" s="74">
        <f>SUMIFS('Unos rashoda i izdataka'!$J$3:$J$524,'Unos rashoda i izdataka'!$C$3:$C$524,"=573",'Unos rashoda i izdataka'!$P$3:$P$524,"=32")+SUMIFS('Unos rashoda P4'!$H$3:$H$501,'Unos rashoda P4'!$A$3:$A$501,"=573",'Unos rashoda P4'!$S$3:$S$501,"=32")</f>
        <v>0</v>
      </c>
      <c r="P12" s="74">
        <f>SUMIFS('Unos rashoda i izdataka'!$J$3:$J$524,'Unos rashoda i izdataka'!$C$3:$C$524,"=575",'Unos rashoda i izdataka'!$P$3:$P$524,"=32")+SUMIFS('Unos rashoda P4'!$H$3:$H$501,'Unos rashoda P4'!$A$3:$A$501,"=575",'Unos rashoda P4'!$S$3:$S$501,"=32")</f>
        <v>0</v>
      </c>
      <c r="Q12" s="74">
        <f>SUMIFS('Unos rashoda i izdataka'!$J$3:$J$524,'Unos rashoda i izdataka'!$Q$3:$Q$524,"=576",'Unos rashoda i izdataka'!$P$3:$P$524,"=32")+SUMIFS('Unos rashoda P4'!$H$3:$H$501,'Unos rashoda P4'!$A$3:$A$501,"=576",'Unos rashoda P4'!$S$3:$S$501,"=32")</f>
        <v>0</v>
      </c>
      <c r="R12" s="74">
        <f>SUMIFS('Unos rashoda i izdataka'!$J$3:$J$524,'Unos rashoda i izdataka'!$C$3:$C$524,"=581",'Unos rashoda i izdataka'!$P$3:$P$524,"=32")+SUMIFS('Unos rashoda P4'!$H$3:$H$501,'Unos rashoda P4'!$A$3:$A$501,"=581",'Unos rashoda P4'!$S$3:$S$501,"=32")</f>
        <v>0</v>
      </c>
      <c r="S12" s="74">
        <f>SUMIFS('Unos rashoda i izdataka'!$J$3:$J$524,'Unos rashoda i izdataka'!$C$3:$C$524,"=61",'Unos rashoda i izdataka'!$P$3:$P$524,"=32")+SUMIFS('Unos rashoda P4'!$H$3:$H$501,'Unos rashoda P4'!$A$3:$A$501,"=61",'Unos rashoda P4'!$S$3:$S$501,"=32")</f>
        <v>0</v>
      </c>
      <c r="T12" s="74">
        <f>SUMIFS('Unos rashoda i izdataka'!$J$3:$J$524,'Unos rashoda i izdataka'!$C$3:$C$524,"=63",'Unos rashoda i izdataka'!$P$3:$P$524,"=32")+SUMIFS('Unos rashoda P4'!$H$3:$H$501,'Unos rashoda P4'!$A$3:$A$501,"=63",'Unos rashoda P4'!$S$3:$S$501,"=32")</f>
        <v>0</v>
      </c>
      <c r="U12" s="74">
        <f>SUMIFS('Unos rashoda i izdataka'!$J$3:$J$524,'Unos rashoda i izdataka'!$C$3:$C$524,"=71",'Unos rashoda i izdataka'!$P$3:$P$524,"=32")+SUMIFS('Unos rashoda P4'!$H$3:$H$501,'Unos rashoda P4'!$A$3:$A$501,"=71",'Unos rashoda P4'!$S$3:$S$501,"=32")</f>
        <v>0</v>
      </c>
      <c r="V12" s="74">
        <f>SUMIFS('Unos rashoda i izdataka'!$J$3:$J$524,'Unos rashoda i izdataka'!$C$3:$C$524,"=81",'Unos rashoda i izdataka'!$P$3:$P$524,"=32")+SUMIFS('Unos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620</v>
      </c>
      <c r="D17" s="74">
        <f>SUMIFS('Unos rashoda i izdataka'!$J$3:$J$524,'Unos rashoda i izdataka'!$C$3:$C$524,"=11",'Unos rashoda i izdataka'!$P$3:$P$524,"=34")+SUMIFS('Unos rashoda P4'!$H$3:$H$501,'Unos rashoda P4'!$A$3:$A$501,"=11",'Unos rashoda P4'!$S$3:$S$501,"=34")</f>
        <v>620</v>
      </c>
      <c r="E17" s="74">
        <f>SUMIFS('Unos rashoda i izdataka'!$J$3:$J$524,'Unos rashoda i izdataka'!$C$3:$C$524,"=12",'Unos rashoda i izdataka'!$P$3:$P$524,"=34")+SUMIFS('Unos rashoda P4'!$H$3:$H$501,'Unos rashoda P4'!$A$3:$A$501,"=12",'Unos rashoda P4'!$S$3:$S$501,"=34")</f>
        <v>0</v>
      </c>
      <c r="F17" s="74">
        <f>SUMIFS('Unos rashoda i izdataka'!$J$3:$J$524,'Unos rashoda i izdataka'!$C$3:$C$524,"=31",'Unos rashoda i izdataka'!$P$3:$P$524,"=34")+SUMIFS('Unos rashoda P4'!$H$3:$H$501,'Unos rashoda P4'!$A$3:$A$501,"=31",'Unos rashoda P4'!$S$3:$S$501,"=34")</f>
        <v>0</v>
      </c>
      <c r="G17" s="74">
        <f>SUMIFS('Unos rashoda i izdataka'!$J$3:$J$524,'Unos rashoda i izdataka'!$C$3:$C$524,"=41",'Unos rashoda i izdataka'!$P$3:$P$524,"=34")+SUMIFS('Unos rashoda P4'!$H$3:$H$501,'Unos rashoda P4'!$A$3:$A$501,"=41",'Unos rashoda P4'!$S$3:$S$501,"=34")</f>
        <v>0</v>
      </c>
      <c r="H17" s="74">
        <f>SUMIFS('Unos rashoda i izdataka'!$J$3:$J$524,'Unos rashoda i izdataka'!$C$3:$C$524,"=43",'Unos rashoda i izdataka'!$P$3:$P$524,"=34")+SUMIFS('Unos rashoda P4'!$H$3:$H$501,'Unos rashoda P4'!$A$3:$A$501,"=43",'Unos rashoda P4'!$S$3:$S$501,"=34")</f>
        <v>0</v>
      </c>
      <c r="I17" s="74">
        <f>SUMIFS('Unos rashoda i izdataka'!$J$3:$J$524,'Unos rashoda i izdataka'!$C$3:$C$524,"=51",'Unos rashoda i izdataka'!$P$3:$P$524,"=34")+SUMIFS('Unos rashoda P4'!$H$3:$H$501,'Unos rashoda P4'!$A$3:$A$501,"=51",'Unos rashoda P4'!$S$3:$S$501,"=34")</f>
        <v>0</v>
      </c>
      <c r="J17" s="74">
        <f>SUMIFS('Unos rashoda i izdataka'!$J$3:$J$524,'Unos rashoda i izdataka'!$C$3:$C$524,"=52",'Unos rashoda i izdataka'!$P$3:$P$524,"=34")+SUMIFS('Unos rashoda P4'!$H$3:$H$501,'Unos rashoda P4'!$A$3:$A$501,"=52",'Unos rashoda P4'!$S$3:$S$501,"=34")</f>
        <v>0</v>
      </c>
      <c r="K17" s="74">
        <f>SUMIFS('Unos rashoda i izdataka'!$J$3:$J$524,'Unos rashoda i izdataka'!$C$3:$C$524,"=552",'Unos rashoda i izdataka'!$P$3:$P$524,"=34")+SUMIFS('Unos rashoda P4'!$H$3:$H$501,'Unos rashoda P4'!$A$3:$A$501,"=552",'Unos rashoda P4'!$S$3:$S$501,"=34")</f>
        <v>0</v>
      </c>
      <c r="L17" s="74">
        <f>SUMIFS('Unos rashoda i izdataka'!$J$3:$J$524,'Unos rashoda i izdataka'!$C$3:$C$524,"=559",'Unos rashoda i izdataka'!$P$3:$P$524,"=34")+SUMIFS('Unos rashoda P4'!$H$3:$H$501,'Unos rashoda P4'!$A$3:$A$501,"=559",'Unos rashoda P4'!$S$3:$S$501,"=34")</f>
        <v>0</v>
      </c>
      <c r="M17" s="74">
        <f>SUMIFS('Unos rashoda i izdataka'!$J$3:$J$524,'Unos rashoda i izdataka'!$C$3:$C$524,"=561",'Unos rashoda i izdataka'!$P$3:$P$524,"=34")+SUMIFS('Unos rashoda P4'!$H$3:$H$501,'Unos rashoda P4'!$A$3:$A$501,"=561",'Unos rashoda P4'!$S$3:$S$501,"=34")</f>
        <v>0</v>
      </c>
      <c r="N17" s="74">
        <f>SUMIFS('Unos rashoda i izdataka'!$J$3:$J$524,'Unos rashoda i izdataka'!$C$3:$C$524,"=563",'Unos rashoda i izdataka'!$P$3:$P$524,"=34")+SUMIFS('Unos rashoda P4'!$H$3:$H$501,'Unos rashoda P4'!$A$3:$A$501,"=563",'Unos rashoda P4'!$S$3:$S$501,"=34")</f>
        <v>0</v>
      </c>
      <c r="O17" s="74">
        <f>SUMIFS('Unos rashoda i izdataka'!$J$3:$J$524,'Unos rashoda i izdataka'!$C$3:$C$524,"=573",'Unos rashoda i izdataka'!$P$3:$P$524,"=34")+SUMIFS('Unos rashoda P4'!$H$3:$H$501,'Unos rashoda P4'!$A$3:$A$501,"=573",'Unos rashoda P4'!$S$3:$S$501,"=34")</f>
        <v>0</v>
      </c>
      <c r="P17" s="74">
        <f>SUMIFS('Unos rashoda i izdataka'!$J$3:$J$524,'Unos rashoda i izdataka'!$C$3:$C$524,"=575",'Unos rashoda i izdataka'!$P$3:$P$524,"=34")+SUMIFS('Unos rashoda P4'!$H$3:$H$501,'Unos rashoda P4'!$A$3:$A$501,"=575",'Unos rashoda P4'!$S$3:$S$501,"=34")</f>
        <v>0</v>
      </c>
      <c r="Q17" s="74">
        <f>SUMIFS('Unos rashoda i izdataka'!$J$3:$J$524,'Unos rashoda i izdataka'!$Q$3:$Q$524,"=576",'Unos rashoda i izdataka'!$P$3:$P$524,"=34")+SUMIFS('Unos rashoda P4'!$H$3:$H$501,'Unos rashoda P4'!$A$3:$A$501,"=576",'Unos rashoda P4'!$S$3:$S$501,"=34")</f>
        <v>0</v>
      </c>
      <c r="R17" s="74">
        <f>SUMIFS('Unos rashoda i izdataka'!$J$3:$J$524,'Unos rashoda i izdataka'!$C$3:$C$524,"=581",'Unos rashoda i izdataka'!$P$3:$P$524,"=34")+SUMIFS('Unos rashoda P4'!$H$3:$H$501,'Unos rashoda P4'!$A$3:$A$501,"=581",'Unos rashoda P4'!$S$3:$S$501,"=34")</f>
        <v>0</v>
      </c>
      <c r="S17" s="74">
        <f>SUMIFS('Unos rashoda i izdataka'!$J$3:$J$524,'Unos rashoda i izdataka'!$C$3:$C$524,"=61",'Unos rashoda i izdataka'!$P$3:$P$524,"=34")+SUMIFS('Unos rashoda P4'!$H$3:$H$501,'Unos rashoda P4'!$A$3:$A$501,"=61",'Unos rashoda P4'!$S$3:$S$501,"=34")</f>
        <v>0</v>
      </c>
      <c r="T17" s="74">
        <f>SUMIFS('Unos rashoda i izdataka'!$J$3:$J$524,'Unos rashoda i izdataka'!$C$3:$C$524,"=63",'Unos rashoda i izdataka'!$P$3:$P$524,"=34")+SUMIFS('Unos rashoda P4'!$H$3:$H$501,'Unos rashoda P4'!$A$3:$A$501,"=63",'Unos rashoda P4'!$S$3:$S$501,"=34")</f>
        <v>0</v>
      </c>
      <c r="U17" s="74">
        <f>SUMIFS('Unos rashoda i izdataka'!$J$3:$J$524,'Unos rashoda i izdataka'!$C$3:$C$524,"=71",'Unos rashoda i izdataka'!$P$3:$P$524,"=34")+SUMIFS('Unos rashoda P4'!$H$3:$H$501,'Unos rashoda P4'!$A$3:$A$501,"=71",'Unos rashoda P4'!$S$3:$S$501,"=34")</f>
        <v>0</v>
      </c>
      <c r="V17" s="74">
        <f>SUMIFS('Unos rashoda i izdataka'!$J$3:$J$524,'Unos rashoda i izdataka'!$C$3:$C$524,"=81",'Unos rashoda i izdataka'!$P$3:$P$524,"=34")+SUMIFS('Unos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izdataka'!$J$3:$J$524,'Unos rashoda i izdataka'!$C$3:$C$524,"=11",'Unos rashoda i izdataka'!$P$3:$P$524,"=35")+SUMIFS('Unos rashoda P4'!$H$3:$H$501,'Unos rashoda P4'!$A$3:$A$501,"=11",'Unos rashoda P4'!$S$3:$S$501,"=35")</f>
        <v>0</v>
      </c>
      <c r="E21" s="74">
        <f>SUMIFS('Unos rashoda i izdataka'!$J$3:$J$524,'Unos rashoda i izdataka'!$C$3:$C$524,"=12",'Unos rashoda i izdataka'!$P$3:$P$524,"=35")+SUMIFS('Unos rashoda P4'!$H$3:$H$501,'Unos rashoda P4'!$A$3:$A$501,"=12",'Unos rashoda P4'!$S$3:$S$501,"=35")</f>
        <v>0</v>
      </c>
      <c r="F21" s="74">
        <f>SUMIFS('Unos rashoda i izdataka'!$J$3:$J$524,'Unos rashoda i izdataka'!$C$3:$C$524,"=31",'Unos rashoda i izdataka'!$P$3:$P$524,"=35")+SUMIFS('Unos rashoda P4'!$H$3:$H$501,'Unos rashoda P4'!$A$3:$A$501,"=31",'Unos rashoda P4'!$S$3:$S$501,"=35")</f>
        <v>0</v>
      </c>
      <c r="G21" s="74">
        <f>SUMIFS('Unos rashoda i izdataka'!$J$3:$J$524,'Unos rashoda i izdataka'!$C$3:$C$524,"=41",'Unos rashoda i izdataka'!$P$3:$P$524,"=35")+SUMIFS('Unos rashoda P4'!$H$3:$H$501,'Unos rashoda P4'!$A$3:$A$501,"=41",'Unos rashoda P4'!$S$3:$S$501,"=35")</f>
        <v>0</v>
      </c>
      <c r="H21" s="74">
        <f>SUMIFS('Unos rashoda i izdataka'!$J$3:$J$524,'Unos rashoda i izdataka'!$C$3:$C$524,"=43",'Unos rashoda i izdataka'!$P$3:$P$524,"=35")+SUMIFS('Unos rashoda P4'!$H$3:$H$501,'Unos rashoda P4'!$A$3:$A$501,"=43",'Unos rashoda P4'!$S$3:$S$501,"=35")</f>
        <v>0</v>
      </c>
      <c r="I21" s="74">
        <f>SUMIFS('Unos rashoda i izdataka'!$J$3:$J$524,'Unos rashoda i izdataka'!$C$3:$C$524,"=51",'Unos rashoda i izdataka'!$P$3:$P$524,"=35")+SUMIFS('Unos rashoda P4'!$H$3:$H$501,'Unos rashoda P4'!$A$3:$A$501,"=51",'Unos rashoda P4'!$S$3:$S$501,"=35")</f>
        <v>0</v>
      </c>
      <c r="J21" s="74">
        <f>SUMIFS('Unos rashoda i izdataka'!$J$3:$J$524,'Unos rashoda i izdataka'!$C$3:$C$524,"=52",'Unos rashoda i izdataka'!$P$3:$P$524,"=35")+SUMIFS('Unos rashoda P4'!$H$3:$H$501,'Unos rashoda P4'!$A$3:$A$501,"=52",'Unos rashoda P4'!$S$3:$S$501,"=35")</f>
        <v>0</v>
      </c>
      <c r="K21" s="74">
        <f>SUMIFS('Unos rashoda i izdataka'!$J$3:$J$524,'Unos rashoda i izdataka'!$C$3:$C$524,"=552",'Unos rashoda i izdataka'!$P$3:$P$524,"=35")+SUMIFS('Unos rashoda P4'!$H$3:$H$501,'Unos rashoda P4'!$A$3:$A$501,"=552",'Unos rashoda P4'!$S$3:$S$501,"=35")</f>
        <v>0</v>
      </c>
      <c r="L21" s="74">
        <f>SUMIFS('Unos rashoda i izdataka'!$J$3:$J$524,'Unos rashoda i izdataka'!$C$3:$C$524,"=559",'Unos rashoda i izdataka'!$P$3:$P$524,"=35")+SUMIFS('Unos rashoda P4'!$H$3:$H$501,'Unos rashoda P4'!$A$3:$A$501,"=559",'Unos rashoda P4'!$S$3:$S$501,"=35")</f>
        <v>0</v>
      </c>
      <c r="M21" s="74">
        <f>SUMIFS('Unos rashoda i izdataka'!$J$3:$J$524,'Unos rashoda i izdataka'!$C$3:$C$524,"=561",'Unos rashoda i izdataka'!$P$3:$P$524,"=35")+SUMIFS('Unos rashoda P4'!$H$3:$H$501,'Unos rashoda P4'!$A$3:$A$501,"=561",'Unos rashoda P4'!$S$3:$S$501,"=35")</f>
        <v>0</v>
      </c>
      <c r="N21" s="74">
        <f>SUMIFS('Unos rashoda i izdataka'!$J$3:$J$524,'Unos rashoda i izdataka'!$C$3:$C$524,"=563",'Unos rashoda i izdataka'!$P$3:$P$524,"=35")+SUMIFS('Unos rashoda P4'!$H$3:$H$501,'Unos rashoda P4'!$A$3:$A$501,"=563",'Unos rashoda P4'!$S$3:$S$501,"=35")</f>
        <v>0</v>
      </c>
      <c r="O21" s="74">
        <f>SUMIFS('Unos rashoda i izdataka'!$J$3:$J$524,'Unos rashoda i izdataka'!$C$3:$C$524,"=573",'Unos rashoda i izdataka'!$P$3:$P$524,"=35")+SUMIFS('Unos rashoda P4'!$H$3:$H$501,'Unos rashoda P4'!$A$3:$A$501,"=573",'Unos rashoda P4'!$S$3:$S$501,"=35")</f>
        <v>0</v>
      </c>
      <c r="P21" s="74">
        <f>SUMIFS('Unos rashoda i izdataka'!$J$3:$J$524,'Unos rashoda i izdataka'!$C$3:$C$524,"=575",'Unos rashoda i izdataka'!$P$3:$P$524,"=35")+SUMIFS('Unos rashoda P4'!$H$3:$H$501,'Unos rashoda P4'!$A$3:$A$501,"=575",'Unos rashoda P4'!$S$3:$S$501,"=35")</f>
        <v>0</v>
      </c>
      <c r="Q21" s="74">
        <f>SUMIFS('Unos rashoda i izdataka'!$J$3:$J$524,'Unos rashoda i izdataka'!$Q$3:$Q$524,"=576",'Unos rashoda i izdataka'!$P$3:$P$524,"=35")+SUMIFS('Unos rashoda P4'!$H$3:$H$501,'Unos rashoda P4'!$A$3:$A$501,"=576",'Unos rashoda P4'!$S$3:$S$501,"=35")</f>
        <v>0</v>
      </c>
      <c r="R21" s="74">
        <f>SUMIFS('Unos rashoda i izdataka'!$J$3:$J$524,'Unos rashoda i izdataka'!$C$3:$C$524,"=581",'Unos rashoda i izdataka'!$P$3:$P$524,"=35")+SUMIFS('Unos rashoda P4'!$H$3:$H$501,'Unos rashoda P4'!$A$3:$A$501,"=581",'Unos rashoda P4'!$S$3:$S$501,"=35")</f>
        <v>0</v>
      </c>
      <c r="S21" s="74">
        <f>SUMIFS('Unos rashoda i izdataka'!$J$3:$J$524,'Unos rashoda i izdataka'!$C$3:$C$524,"=61",'Unos rashoda i izdataka'!$P$3:$P$524,"=35")+SUMIFS('Unos rashoda P4'!$H$3:$H$501,'Unos rashoda P4'!$A$3:$A$501,"=61",'Unos rashoda P4'!$S$3:$S$501,"=35")</f>
        <v>0</v>
      </c>
      <c r="T21" s="74">
        <f>SUMIFS('Unos rashoda i izdataka'!$J$3:$J$524,'Unos rashoda i izdataka'!$C$3:$C$524,"=63",'Unos rashoda i izdataka'!$P$3:$P$524,"=35")+SUMIFS('Unos rashoda P4'!$H$3:$H$501,'Unos rashoda P4'!$A$3:$A$501,"=63",'Unos rashoda P4'!$S$3:$S$501,"=35")</f>
        <v>0</v>
      </c>
      <c r="U21" s="74">
        <f>SUMIFS('Unos rashoda i izdataka'!$J$3:$J$524,'Unos rashoda i izdataka'!$C$3:$C$524,"=71",'Unos rashoda i izdataka'!$P$3:$P$524,"=35")+SUMIFS('Unos rashoda P4'!$H$3:$H$501,'Unos rashoda P4'!$A$3:$A$501,"=71",'Unos rashoda P4'!$S$3:$S$501,"=35")</f>
        <v>0</v>
      </c>
      <c r="V21" s="74">
        <f>SUMIFS('Unos rashoda i izdataka'!$J$3:$J$524,'Unos rashoda i izdataka'!$C$3:$C$524,"=81",'Unos rashoda i izdataka'!$P$3:$P$524,"=35")+SUMIFS('Unos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izdataka'!$J$3:$J$524,'Unos rashoda i izdataka'!$C$3:$C$524,"=11",'Unos rashoda i izdataka'!$P$3:$P$524,"=36")+SUMIFS('Unos rashoda P4'!$H$3:$H$501,'Unos rashoda P4'!$A$3:$A$501,"=11",'Unos rashoda P4'!$S$3:$S$501,"=36")</f>
        <v>0</v>
      </c>
      <c r="E25" s="74">
        <f>SUMIFS('Unos rashoda i izdataka'!$J$3:$J$524,'Unos rashoda i izdataka'!$C$3:$C$524,"=12",'Unos rashoda i izdataka'!$P$3:$P$524,"=36")+SUMIFS('Unos rashoda P4'!$H$3:$H$501,'Unos rashoda P4'!$A$3:$A$501,"=12",'Unos rashoda P4'!$S$3:$S$501,"=36")</f>
        <v>0</v>
      </c>
      <c r="F25" s="74">
        <f>SUMIFS('Unos rashoda i izdataka'!$J$3:$J$524,'Unos rashoda i izdataka'!$C$3:$C$524,"=31",'Unos rashoda i izdataka'!$P$3:$P$524,"=36")+SUMIFS('Unos rashoda P4'!$H$3:$H$501,'Unos rashoda P4'!$A$3:$A$501,"=31",'Unos rashoda P4'!$S$3:$S$501,"=36")</f>
        <v>0</v>
      </c>
      <c r="G25" s="74">
        <f>SUMIFS('Unos rashoda i izdataka'!$J$3:$J$524,'Unos rashoda i izdataka'!$C$3:$C$524,"=41",'Unos rashoda i izdataka'!$P$3:$P$524,"=36")+SUMIFS('Unos rashoda P4'!$H$3:$H$501,'Unos rashoda P4'!$A$3:$A$501,"=41",'Unos rashoda P4'!$S$3:$S$501,"=36")</f>
        <v>0</v>
      </c>
      <c r="H25" s="74">
        <f>SUMIFS('Unos rashoda i izdataka'!$J$3:$J$524,'Unos rashoda i izdataka'!$C$3:$C$524,"=43",'Unos rashoda i izdataka'!$P$3:$P$524,"=36")+SUMIFS('Unos rashoda P4'!$H$3:$H$501,'Unos rashoda P4'!$A$3:$A$501,"=43",'Unos rashoda P4'!$S$3:$S$501,"=36")</f>
        <v>0</v>
      </c>
      <c r="I25" s="74">
        <f>SUMIFS('Unos rashoda i izdataka'!$J$3:$J$524,'Unos rashoda i izdataka'!$C$3:$C$524,"=51",'Unos rashoda i izdataka'!$P$3:$P$524,"=36")+SUMIFS('Unos rashoda P4'!$H$3:$H$501,'Unos rashoda P4'!$A$3:$A$501,"=51",'Unos rashoda P4'!$S$3:$S$501,"=36")</f>
        <v>0</v>
      </c>
      <c r="J25" s="74">
        <f>SUMIFS('Unos rashoda i izdataka'!$J$3:$J$524,'Unos rashoda i izdataka'!$C$3:$C$524,"=52",'Unos rashoda i izdataka'!$P$3:$P$524,"=36")+SUMIFS('Unos rashoda P4'!$H$3:$H$501,'Unos rashoda P4'!$A$3:$A$501,"=52",'Unos rashoda P4'!$S$3:$S$501,"=36")</f>
        <v>0</v>
      </c>
      <c r="K25" s="74">
        <f>SUMIFS('Unos rashoda i izdataka'!$J$3:$J$524,'Unos rashoda i izdataka'!$C$3:$C$524,"=552",'Unos rashoda i izdataka'!$P$3:$P$524,"=36")+SUMIFS('Unos rashoda P4'!$H$3:$H$501,'Unos rashoda P4'!$A$3:$A$501,"=552",'Unos rashoda P4'!$S$3:$S$501,"=36")</f>
        <v>0</v>
      </c>
      <c r="L25" s="74">
        <f>SUMIFS('Unos rashoda i izdataka'!$J$3:$J$524,'Unos rashoda i izdataka'!$C$3:$C$524,"=559",'Unos rashoda i izdataka'!$P$3:$P$524,"=36")+SUMIFS('Unos rashoda P4'!$H$3:$H$501,'Unos rashoda P4'!$A$3:$A$501,"=559",'Unos rashoda P4'!$S$3:$S$501,"=36")</f>
        <v>0</v>
      </c>
      <c r="M25" s="74">
        <f>SUMIFS('Unos rashoda i izdataka'!$J$3:$J$524,'Unos rashoda i izdataka'!$C$3:$C$524,"=561",'Unos rashoda i izdataka'!$P$3:$P$524,"=36")+SUMIFS('Unos rashoda P4'!$H$3:$H$501,'Unos rashoda P4'!$A$3:$A$501,"=561",'Unos rashoda P4'!$S$3:$S$501,"=36")</f>
        <v>0</v>
      </c>
      <c r="N25" s="74">
        <f>SUMIFS('Unos rashoda i izdataka'!$J$3:$J$524,'Unos rashoda i izdataka'!$C$3:$C$524,"=563",'Unos rashoda i izdataka'!$P$3:$P$524,"=36")+SUMIFS('Unos rashoda P4'!$H$3:$H$501,'Unos rashoda P4'!$A$3:$A$501,"=563",'Unos rashoda P4'!$S$3:$S$501,"=36")</f>
        <v>0</v>
      </c>
      <c r="O25" s="74">
        <f>SUMIFS('Unos rashoda i izdataka'!$J$3:$J$524,'Unos rashoda i izdataka'!$C$3:$C$524,"=573",'Unos rashoda i izdataka'!$P$3:$P$524,"=36")+SUMIFS('Unos rashoda P4'!$H$3:$H$501,'Unos rashoda P4'!$A$3:$A$501,"=573",'Unos rashoda P4'!$S$3:$S$501,"=36")</f>
        <v>0</v>
      </c>
      <c r="P25" s="74">
        <f>SUMIFS('Unos rashoda i izdataka'!$J$3:$J$524,'Unos rashoda i izdataka'!$C$3:$C$524,"=575",'Unos rashoda i izdataka'!$P$3:$P$524,"=36")+SUMIFS('Unos rashoda P4'!$H$3:$H$501,'Unos rashoda P4'!$A$3:$A$501,"=575",'Unos rashoda P4'!$S$3:$S$501,"=36")</f>
        <v>0</v>
      </c>
      <c r="Q25" s="74">
        <f>SUMIFS('Unos rashoda i izdataka'!$J$3:$J$524,'Unos rashoda i izdataka'!$Q$3:$Q$524,"=576",'Unos rashoda i izdataka'!$P$3:$P$524,"=36")+SUMIFS('Unos rashoda P4'!$H$3:$H$501,'Unos rashoda P4'!$A$3:$A$501,"=576",'Unos rashoda P4'!$S$3:$S$501,"=36")</f>
        <v>0</v>
      </c>
      <c r="R25" s="74">
        <f>SUMIFS('Unos rashoda i izdataka'!$J$3:$J$524,'Unos rashoda i izdataka'!$C$3:$C$524,"=581",'Unos rashoda i izdataka'!$P$3:$P$524,"=36")+SUMIFS('Unos rashoda P4'!$H$3:$H$501,'Unos rashoda P4'!$A$3:$A$501,"=581",'Unos rashoda P4'!$S$3:$S$501,"=36")</f>
        <v>0</v>
      </c>
      <c r="S25" s="74">
        <f>SUMIFS('Unos rashoda i izdataka'!$J$3:$J$524,'Unos rashoda i izdataka'!$C$3:$C$524,"=61",'Unos rashoda i izdataka'!$P$3:$P$524,"=36")+SUMIFS('Unos rashoda P4'!$H$3:$H$501,'Unos rashoda P4'!$A$3:$A$501,"=61",'Unos rashoda P4'!$S$3:$S$501,"=36")</f>
        <v>0</v>
      </c>
      <c r="T25" s="74">
        <f>SUMIFS('Unos rashoda i izdataka'!$J$3:$J$524,'Unos rashoda i izdataka'!$C$3:$C$524,"=63",'Unos rashoda i izdataka'!$P$3:$P$524,"=36")+SUMIFS('Unos rashoda P4'!$H$3:$H$501,'Unos rashoda P4'!$A$3:$A$501,"=63",'Unos rashoda P4'!$S$3:$S$501,"=36")</f>
        <v>0</v>
      </c>
      <c r="U25" s="74">
        <f>SUMIFS('Unos rashoda i izdataka'!$J$3:$J$524,'Unos rashoda i izdataka'!$C$3:$C$524,"=71",'Unos rashoda i izdataka'!$P$3:$P$524,"=36")+SUMIFS('Unos rashoda P4'!$H$3:$H$501,'Unos rashoda P4'!$A$3:$A$501,"=71",'Unos rashoda P4'!$S$3:$S$501,"=36")</f>
        <v>0</v>
      </c>
      <c r="V25" s="74">
        <f>SUMIFS('Unos rashoda i izdataka'!$J$3:$J$524,'Unos rashoda i izdataka'!$C$3:$C$524,"=81",'Unos rashoda i izdataka'!$P$3:$P$524,"=36")+SUMIFS('Unos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3981</v>
      </c>
      <c r="D30" s="74">
        <f>SUMIFS('Unos rashoda i izdataka'!$J$3:$J$524,'Unos rashoda i izdataka'!$C$3:$C$524,"=11",'Unos rashoda i izdataka'!$P$3:$P$524,"=37")+SUMIFS('Unos rashoda P4'!$H$3:$H$501,'Unos rashoda P4'!$A$3:$A$501,"=11",'Unos rashoda P4'!$S$3:$S$501,"=37")</f>
        <v>2654</v>
      </c>
      <c r="E30" s="74">
        <f>SUMIFS('Unos rashoda i izdataka'!$J$3:$J$524,'Unos rashoda i izdataka'!$C$3:$C$524,"=12",'Unos rashoda i izdataka'!$P$3:$P$524,"=37")+SUMIFS('Unos rashoda P4'!$H$3:$H$501,'Unos rashoda P4'!$A$3:$A$501,"=12",'Unos rashoda P4'!$S$3:$S$501,"=37")</f>
        <v>0</v>
      </c>
      <c r="F30" s="74">
        <f>SUMIFS('Unos rashoda i izdataka'!$J$3:$J$524,'Unos rashoda i izdataka'!$C$3:$C$524,"=31",'Unos rashoda i izdataka'!$P$3:$P$524,"=37")+SUMIFS('Unos rashoda P4'!$H$3:$H$501,'Unos rashoda P4'!$A$3:$A$501,"=31",'Unos rashoda P4'!$S$3:$S$501,"=37")</f>
        <v>0</v>
      </c>
      <c r="G30" s="74">
        <f>SUMIFS('Unos rashoda i izdataka'!$J$3:$J$524,'Unos rashoda i izdataka'!$C$3:$C$524,"=41",'Unos rashoda i izdataka'!$P$3:$P$524,"=37")+SUMIFS('Unos rashoda P4'!$H$3:$H$501,'Unos rashoda P4'!$A$3:$A$501,"=41",'Unos rashoda P4'!$S$3:$S$501,"=37")</f>
        <v>0</v>
      </c>
      <c r="H30" s="74">
        <f>SUMIFS('Unos rashoda i izdataka'!$J$3:$J$524,'Unos rashoda i izdataka'!$C$3:$C$524,"=43",'Unos rashoda i izdataka'!$P$3:$P$524,"=37")+SUMIFS('Unos rashoda P4'!$H$3:$H$501,'Unos rashoda P4'!$A$3:$A$501,"=43",'Unos rashoda P4'!$S$3:$S$501,"=37")</f>
        <v>0</v>
      </c>
      <c r="I30" s="74">
        <f>SUMIFS('Unos rashoda i izdataka'!$J$3:$J$524,'Unos rashoda i izdataka'!$C$3:$C$524,"=51",'Unos rashoda i izdataka'!$P$3:$P$524,"=37")+SUMIFS('Unos rashoda P4'!$H$3:$H$501,'Unos rashoda P4'!$A$3:$A$501,"=51",'Unos rashoda P4'!$S$3:$S$501,"=37")</f>
        <v>0</v>
      </c>
      <c r="J30" s="74">
        <f>SUMIFS('Unos rashoda i izdataka'!$J$3:$J$524,'Unos rashoda i izdataka'!$C$3:$C$524,"=52",'Unos rashoda i izdataka'!$P$3:$P$524,"=37")+SUMIFS('Unos rashoda P4'!$H$3:$H$501,'Unos rashoda P4'!$A$3:$A$501,"=52",'Unos rashoda P4'!$S$3:$S$501,"=37")</f>
        <v>1327</v>
      </c>
      <c r="K30" s="74">
        <f>SUMIFS('Unos rashoda i izdataka'!$J$3:$J$524,'Unos rashoda i izdataka'!$C$3:$C$524,"=552",'Unos rashoda i izdataka'!$P$3:$P$524,"=37")+SUMIFS('Unos rashoda P4'!$H$3:$H$501,'Unos rashoda P4'!$A$3:$A$501,"=552",'Unos rashoda P4'!$S$3:$S$501,"=37")</f>
        <v>0</v>
      </c>
      <c r="L30" s="74">
        <f>SUMIFS('Unos rashoda i izdataka'!$J$3:$J$524,'Unos rashoda i izdataka'!$C$3:$C$524,"=559",'Unos rashoda i izdataka'!$P$3:$P$524,"=37")+SUMIFS('Unos rashoda P4'!$H$3:$H$501,'Unos rashoda P4'!$A$3:$A$501,"=559",'Unos rashoda P4'!$S$3:$S$501,"=37")</f>
        <v>0</v>
      </c>
      <c r="M30" s="74">
        <f>SUMIFS('Unos rashoda i izdataka'!$J$3:$J$524,'Unos rashoda i izdataka'!$C$3:$C$524,"=561",'Unos rashoda i izdataka'!$P$3:$P$524,"=37")+SUMIFS('Unos rashoda P4'!$H$3:$H$501,'Unos rashoda P4'!$A$3:$A$501,"=561",'Unos rashoda P4'!$S$3:$S$501,"=37")</f>
        <v>0</v>
      </c>
      <c r="N30" s="74">
        <f>SUMIFS('Unos rashoda i izdataka'!$J$3:$J$524,'Unos rashoda i izdataka'!$C$3:$C$524,"=563",'Unos rashoda i izdataka'!$P$3:$P$524,"=37")+SUMIFS('Unos rashoda P4'!$H$3:$H$501,'Unos rashoda P4'!$A$3:$A$501,"=563",'Unos rashoda P4'!$S$3:$S$501,"=37")</f>
        <v>0</v>
      </c>
      <c r="O30" s="74">
        <f>SUMIFS('Unos rashoda i izdataka'!$J$3:$J$524,'Unos rashoda i izdataka'!$C$3:$C$524,"=573",'Unos rashoda i izdataka'!$P$3:$P$524,"=37")+SUMIFS('Unos rashoda P4'!$H$3:$H$501,'Unos rashoda P4'!$A$3:$A$501,"=573",'Unos rashoda P4'!$S$3:$S$501,"=37")</f>
        <v>0</v>
      </c>
      <c r="P30" s="74">
        <f>SUMIFS('Unos rashoda i izdataka'!$J$3:$J$524,'Unos rashoda i izdataka'!$C$3:$C$524,"=575",'Unos rashoda i izdataka'!$P$3:$P$524,"=37")+SUMIFS('Unos rashoda P4'!$H$3:$H$501,'Unos rashoda P4'!$A$3:$A$501,"=575",'Unos rashoda P4'!$S$3:$S$501,"=37")</f>
        <v>0</v>
      </c>
      <c r="Q30" s="74">
        <f>SUMIFS('Unos rashoda i izdataka'!$J$3:$J$524,'Unos rashoda i izdataka'!$Q$3:$Q$524,"=576",'Unos rashoda i izdataka'!$P$3:$P$524,"=37")+SUMIFS('Unos rashoda P4'!$H$3:$H$501,'Unos rashoda P4'!$A$3:$A$501,"=576",'Unos rashoda P4'!$S$3:$S$501,"=37")</f>
        <v>0</v>
      </c>
      <c r="R30" s="74">
        <f>SUMIFS('Unos rashoda i izdataka'!$J$3:$J$524,'Unos rashoda i izdataka'!$C$3:$C$524,"=581",'Unos rashoda i izdataka'!$P$3:$P$524,"=37")+SUMIFS('Unos rashoda P4'!$H$3:$H$501,'Unos rashoda P4'!$A$3:$A$501,"=581",'Unos rashoda P4'!$S$3:$S$501,"=37")</f>
        <v>0</v>
      </c>
      <c r="S30" s="74">
        <f>SUMIFS('Unos rashoda i izdataka'!$J$3:$J$524,'Unos rashoda i izdataka'!$C$3:$C$524,"=61",'Unos rashoda i izdataka'!$P$3:$P$524,"=37")+SUMIFS('Unos rashoda P4'!$H$3:$H$501,'Unos rashoda P4'!$A$3:$A$501,"=61",'Unos rashoda P4'!$S$3:$S$501,"=37")</f>
        <v>0</v>
      </c>
      <c r="T30" s="74">
        <f>SUMIFS('Unos rashoda i izdataka'!$J$3:$J$524,'Unos rashoda i izdataka'!$C$3:$C$524,"=63",'Unos rashoda i izdataka'!$P$3:$P$524,"=37")+SUMIFS('Unos rashoda P4'!$H$3:$H$501,'Unos rashoda P4'!$A$3:$A$501,"=63",'Unos rashoda P4'!$S$3:$S$501,"=37")</f>
        <v>0</v>
      </c>
      <c r="U30" s="74">
        <f>SUMIFS('Unos rashoda i izdataka'!$J$3:$J$524,'Unos rashoda i izdataka'!$C$3:$C$524,"=71",'Unos rashoda i izdataka'!$P$3:$P$524,"=37")+SUMIFS('Unos rashoda P4'!$H$3:$H$501,'Unos rashoda P4'!$A$3:$A$501,"=71",'Unos rashoda P4'!$S$3:$S$501,"=37")</f>
        <v>0</v>
      </c>
      <c r="V30" s="74">
        <f>SUMIFS('Unos rashoda i izdataka'!$J$3:$J$524,'Unos rashoda i izdataka'!$C$3:$C$524,"=81",'Unos rashoda i izdataka'!$P$3:$P$524,"=37")+SUMIFS('Unos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izdataka'!$J$3:$J$524,'Unos rashoda i izdataka'!$C$3:$C$524,"=11",'Unos rashoda i izdataka'!$P$3:$P$524,"=38")+SUMIFS('Unos rashoda P4'!$H$3:$H$501,'Unos rashoda P4'!$A$3:$A$501,"=11",'Unos rashoda P4'!$S$3:$S$501,"=38")</f>
        <v>0</v>
      </c>
      <c r="E31" s="74">
        <f>SUMIFS('Unos rashoda i izdataka'!$J$3:$J$524,'Unos rashoda i izdataka'!$C$3:$C$524,"=12",'Unos rashoda i izdataka'!$P$3:$P$524,"=38")+SUMIFS('Unos rashoda P4'!$H$3:$H$501,'Unos rashoda P4'!$A$3:$A$501,"=12",'Unos rashoda P4'!$S$3:$S$501,"=38")</f>
        <v>0</v>
      </c>
      <c r="F31" s="74">
        <f>SUMIFS('Unos rashoda i izdataka'!$J$3:$J$524,'Unos rashoda i izdataka'!$C$3:$C$524,"=31",'Unos rashoda i izdataka'!$P$3:$P$524,"=38")+SUMIFS('Unos rashoda P4'!$H$3:$H$501,'Unos rashoda P4'!$A$3:$A$501,"=31",'Unos rashoda P4'!$S$3:$S$501,"=38")</f>
        <v>0</v>
      </c>
      <c r="G31" s="74">
        <f>SUMIFS('Unos rashoda i izdataka'!$J$3:$J$524,'Unos rashoda i izdataka'!$C$3:$C$524,"=41",'Unos rashoda i izdataka'!$P$3:$P$524,"=38")+SUMIFS('Unos rashoda P4'!$H$3:$H$501,'Unos rashoda P4'!$A$3:$A$501,"=41",'Unos rashoda P4'!$S$3:$S$501,"=38")</f>
        <v>0</v>
      </c>
      <c r="H31" s="74">
        <f>SUMIFS('Unos rashoda i izdataka'!$J$3:$J$524,'Unos rashoda i izdataka'!$C$3:$C$524,"=43",'Unos rashoda i izdataka'!$P$3:$P$524,"=38")+SUMIFS('Unos rashoda P4'!$H$3:$H$501,'Unos rashoda P4'!$A$3:$A$501,"=43",'Unos rashoda P4'!$S$3:$S$501,"=38")</f>
        <v>0</v>
      </c>
      <c r="I31" s="74">
        <f>SUMIFS('Unos rashoda i izdataka'!$J$3:$J$524,'Unos rashoda i izdataka'!$C$3:$C$524,"=51",'Unos rashoda i izdataka'!$P$3:$P$524,"=38")+SUMIFS('Unos rashoda P4'!$H$3:$H$501,'Unos rashoda P4'!$A$3:$A$501,"=51",'Unos rashoda P4'!$S$3:$S$501,"=38")</f>
        <v>0</v>
      </c>
      <c r="J31" s="74">
        <f>SUMIFS('Unos rashoda i izdataka'!$J$3:$J$524,'Unos rashoda i izdataka'!$C$3:$C$524,"=52",'Unos rashoda i izdataka'!$P$3:$P$524,"=38")+SUMIFS('Unos rashoda P4'!$H$3:$H$501,'Unos rashoda P4'!$A$3:$A$501,"=52",'Unos rashoda P4'!$S$3:$S$501,"=38")</f>
        <v>0</v>
      </c>
      <c r="K31" s="74">
        <f>SUMIFS('Unos rashoda i izdataka'!$J$3:$J$524,'Unos rashoda i izdataka'!$C$3:$C$524,"=552",'Unos rashoda i izdataka'!$P$3:$P$524,"=38")+SUMIFS('Unos rashoda P4'!$H$3:$H$501,'Unos rashoda P4'!$A$3:$A$501,"=552",'Unos rashoda P4'!$S$3:$S$501,"=38")</f>
        <v>0</v>
      </c>
      <c r="L31" s="74">
        <f>SUMIFS('Unos rashoda i izdataka'!$J$3:$J$524,'Unos rashoda i izdataka'!$C$3:$C$524,"=559",'Unos rashoda i izdataka'!$P$3:$P$524,"=38")+SUMIFS('Unos rashoda P4'!$H$3:$H$501,'Unos rashoda P4'!$A$3:$A$501,"=559",'Unos rashoda P4'!$S$3:$S$501,"=38")</f>
        <v>0</v>
      </c>
      <c r="M31" s="74">
        <f>SUMIFS('Unos rashoda i izdataka'!$J$3:$J$524,'Unos rashoda i izdataka'!$C$3:$C$524,"=561",'Unos rashoda i izdataka'!$P$3:$P$524,"=38")+SUMIFS('Unos rashoda P4'!$H$3:$H$501,'Unos rashoda P4'!$A$3:$A$501,"=561",'Unos rashoda P4'!$S$3:$S$501,"=38")</f>
        <v>0</v>
      </c>
      <c r="N31" s="74">
        <f>SUMIFS('Unos rashoda i izdataka'!$J$3:$J$524,'Unos rashoda i izdataka'!$C$3:$C$524,"=563",'Unos rashoda i izdataka'!$P$3:$P$524,"=38")+SUMIFS('Unos rashoda P4'!$H$3:$H$501,'Unos rashoda P4'!$A$3:$A$501,"=563",'Unos rashoda P4'!$S$3:$S$501,"=38")</f>
        <v>0</v>
      </c>
      <c r="O31" s="74">
        <f>SUMIFS('Unos rashoda i izdataka'!$J$3:$J$524,'Unos rashoda i izdataka'!$C$3:$C$524,"=573",'Unos rashoda i izdataka'!$P$3:$P$524,"=38")+SUMIFS('Unos rashoda P4'!$H$3:$H$501,'Unos rashoda P4'!$A$3:$A$501,"=573",'Unos rashoda P4'!$S$3:$S$501,"=38")</f>
        <v>0</v>
      </c>
      <c r="P31" s="74">
        <f>SUMIFS('Unos rashoda i izdataka'!$J$3:$J$524,'Unos rashoda i izdataka'!$C$3:$C$524,"=575",'Unos rashoda i izdataka'!$P$3:$P$524,"=38")+SUMIFS('Unos rashoda P4'!$H$3:$H$501,'Unos rashoda P4'!$A$3:$A$501,"=575",'Unos rashoda P4'!$S$3:$S$501,"=38")</f>
        <v>0</v>
      </c>
      <c r="Q31" s="74">
        <f>SUMIFS('Unos rashoda i izdataka'!$J$3:$J$524,'Unos rashoda i izdataka'!$Q$3:$Q$524,"=576",'Unos rashoda i izdataka'!$P$3:$P$524,"=38")+SUMIFS('Unos rashoda P4'!$H$3:$H$501,'Unos rashoda P4'!$A$3:$A$501,"=576",'Unos rashoda P4'!$S$3:$S$501,"=38")</f>
        <v>0</v>
      </c>
      <c r="R31" s="74">
        <f>SUMIFS('Unos rashoda i izdataka'!$J$3:$J$524,'Unos rashoda i izdataka'!$C$3:$C$524,"=581",'Unos rashoda i izdataka'!$P$3:$P$524,"=38")+SUMIFS('Unos rashoda P4'!$H$3:$H$501,'Unos rashoda P4'!$A$3:$A$501,"=581",'Unos rashoda P4'!$S$3:$S$501,"=38")</f>
        <v>0</v>
      </c>
      <c r="S31" s="74">
        <f>SUMIFS('Unos rashoda i izdataka'!$J$3:$J$524,'Unos rashoda i izdataka'!$C$3:$C$524,"=61",'Unos rashoda i izdataka'!$P$3:$P$524,"=38")+SUMIFS('Unos rashoda P4'!$H$3:$H$501,'Unos rashoda P4'!$A$3:$A$501,"=61",'Unos rashoda P4'!$S$3:$S$501,"=38")</f>
        <v>0</v>
      </c>
      <c r="T31" s="74">
        <f>SUMIFS('Unos rashoda i izdataka'!$J$3:$J$524,'Unos rashoda i izdataka'!$C$3:$C$524,"=63",'Unos rashoda i izdataka'!$P$3:$P$524,"=38")+SUMIFS('Unos rashoda P4'!$H$3:$H$501,'Unos rashoda P4'!$A$3:$A$501,"=63",'Unos rashoda P4'!$S$3:$S$501,"=38")</f>
        <v>0</v>
      </c>
      <c r="U31" s="74">
        <f>SUMIFS('Unos rashoda i izdataka'!$J$3:$J$524,'Unos rashoda i izdataka'!$C$3:$C$524,"=71",'Unos rashoda i izdataka'!$P$3:$P$524,"=38")+SUMIFS('Unos rashoda P4'!$H$3:$H$501,'Unos rashoda P4'!$A$3:$A$501,"=71",'Unos rashoda P4'!$S$3:$S$501,"=38")</f>
        <v>0</v>
      </c>
      <c r="V31" s="74">
        <f>SUMIFS('Unos rashoda i izdataka'!$J$3:$J$524,'Unos rashoda i izdataka'!$C$3:$C$524,"=81",'Unos rashoda i izdataka'!$P$3:$P$524,"=38")+SUMIFS('Unos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35506</v>
      </c>
      <c r="D32" s="69">
        <f>+D33+D34+D35+D36+D37</f>
        <v>35506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0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izdataka'!$J$3:$J$524,'Unos rashoda i izdataka'!$C$3:$C$524,"=11",'Unos rashoda i izdataka'!$P$3:$P$524,"=41")+SUMIFS('Unos rashoda P4'!$H$3:$H$501,'Unos rashoda P4'!$A$3:$A$501,"=11",'Unos rashoda P4'!$S$3:$S$501,"=41")</f>
        <v>0</v>
      </c>
      <c r="E33" s="74">
        <f>SUMIFS('Unos rashoda i izdataka'!$J$3:$J$524,'Unos rashoda i izdataka'!$C$3:$C$524,"=12",'Unos rashoda i izdataka'!$P$3:$P$524,"=41")+SUMIFS('Unos rashoda P4'!$H$3:$H$501,'Unos rashoda P4'!$A$3:$A$501,"=12",'Unos rashoda P4'!$S$3:$S$501,"=41")</f>
        <v>0</v>
      </c>
      <c r="F33" s="74">
        <f>SUMIFS('Unos rashoda i izdataka'!$J$3:$J$524,'Unos rashoda i izdataka'!$C$3:$C$524,"=31",'Unos rashoda i izdataka'!$P$3:$P$524,"=41")+SUMIFS('Unos rashoda P4'!$H$3:$H$501,'Unos rashoda P4'!$A$3:$A$501,"=31",'Unos rashoda P4'!$S$3:$S$501,"=41")</f>
        <v>0</v>
      </c>
      <c r="G33" s="74">
        <f>SUMIFS('Unos rashoda i izdataka'!$J$3:$J$524,'Unos rashoda i izdataka'!$C$3:$C$524,"=41",'Unos rashoda i izdataka'!$P$3:$P$524,"=41")+SUMIFS('Unos rashoda P4'!$H$3:$H$501,'Unos rashoda P4'!$A$3:$A$501,"=41",'Unos rashoda P4'!$S$3:$S$501,"=41")</f>
        <v>0</v>
      </c>
      <c r="H33" s="74">
        <f>SUMIFS('Unos rashoda i izdataka'!$J$3:$J$524,'Unos rashoda i izdataka'!$C$3:$C$524,"=43",'Unos rashoda i izdataka'!$P$3:$P$524,"=41")+SUMIFS('Unos rashoda P4'!$H$3:$H$501,'Unos rashoda P4'!$A$3:$A$501,"=43",'Unos rashoda P4'!$S$3:$S$501,"=41")</f>
        <v>0</v>
      </c>
      <c r="I33" s="74">
        <f>SUMIFS('Unos rashoda i izdataka'!$J$3:$J$524,'Unos rashoda i izdataka'!$C$3:$C$524,"=51",'Unos rashoda i izdataka'!$P$3:$P$524,"=41")+SUMIFS('Unos rashoda P4'!$H$3:$H$501,'Unos rashoda P4'!$A$3:$A$501,"=51",'Unos rashoda P4'!$S$3:$S$501,"=41")</f>
        <v>0</v>
      </c>
      <c r="J33" s="74">
        <f>SUMIFS('Unos rashoda i izdataka'!$J$3:$J$524,'Unos rashoda i izdataka'!$C$3:$C$524,"=52",'Unos rashoda i izdataka'!$P$3:$P$524,"=41")+SUMIFS('Unos rashoda P4'!$H$3:$H$501,'Unos rashoda P4'!$A$3:$A$501,"=52",'Unos rashoda P4'!$S$3:$S$501,"=41")</f>
        <v>0</v>
      </c>
      <c r="K33" s="74">
        <f>SUMIFS('Unos rashoda i izdataka'!$J$3:$J$524,'Unos rashoda i izdataka'!$C$3:$C$524,"=552",'Unos rashoda i izdataka'!$P$3:$P$524,"=41")+SUMIFS('Unos rashoda P4'!$H$3:$H$501,'Unos rashoda P4'!$A$3:$A$501,"=552",'Unos rashoda P4'!$S$3:$S$501,"=41")</f>
        <v>0</v>
      </c>
      <c r="L33" s="74">
        <f>SUMIFS('Unos rashoda i izdataka'!$J$3:$J$524,'Unos rashoda i izdataka'!$C$3:$C$524,"=559",'Unos rashoda i izdataka'!$P$3:$P$524,"=41")+SUMIFS('Unos rashoda P4'!$H$3:$H$501,'Unos rashoda P4'!$A$3:$A$501,"=559",'Unos rashoda P4'!$S$3:$S$501,"=41")</f>
        <v>0</v>
      </c>
      <c r="M33" s="74">
        <f>SUMIFS('Unos rashoda i izdataka'!$J$3:$J$524,'Unos rashoda i izdataka'!$C$3:$C$524,"=561",'Unos rashoda i izdataka'!$P$3:$P$524,"=41")+SUMIFS('Unos rashoda P4'!$H$3:$H$501,'Unos rashoda P4'!$A$3:$A$501,"=561",'Unos rashoda P4'!$S$3:$S$501,"=41")</f>
        <v>0</v>
      </c>
      <c r="N33" s="74">
        <f>SUMIFS('Unos rashoda i izdataka'!$J$3:$J$524,'Unos rashoda i izdataka'!$C$3:$C$524,"=563",'Unos rashoda i izdataka'!$P$3:$P$524,"=41")+SUMIFS('Unos rashoda P4'!$H$3:$H$501,'Unos rashoda P4'!$A$3:$A$501,"=563",'Unos rashoda P4'!$S$3:$S$501,"=41")</f>
        <v>0</v>
      </c>
      <c r="O33" s="74">
        <f>SUMIFS('Unos rashoda i izdataka'!$J$3:$J$524,'Unos rashoda i izdataka'!$C$3:$C$524,"=573",'Unos rashoda i izdataka'!$P$3:$P$524,"=41")+SUMIFS('Unos rashoda P4'!$H$3:$H$501,'Unos rashoda P4'!$A$3:$A$501,"=573",'Unos rashoda P4'!$S$3:$S$501,"=41")</f>
        <v>0</v>
      </c>
      <c r="P33" s="74">
        <f>SUMIFS('Unos rashoda i izdataka'!$J$3:$J$524,'Unos rashoda i izdataka'!$C$3:$C$524,"=575",'Unos rashoda i izdataka'!$P$3:$P$524,"=41")+SUMIFS('Unos rashoda P4'!$H$3:$H$501,'Unos rashoda P4'!$A$3:$A$501,"=575",'Unos rashoda P4'!$S$3:$S$501,"=41")</f>
        <v>0</v>
      </c>
      <c r="Q33" s="74">
        <f>SUMIFS('Unos rashoda i izdataka'!$J$3:$J$524,'Unos rashoda i izdataka'!$Q$3:$Q$524,"=576",'Unos rashoda i izdataka'!$P$3:$P$524,"=41")+SUMIFS('Unos rashoda P4'!$H$3:$H$501,'Unos rashoda P4'!$A$3:$A$501,"=576",'Unos rashoda P4'!$S$3:$S$501,"=41")</f>
        <v>0</v>
      </c>
      <c r="R33" s="74">
        <f>SUMIFS('Unos rashoda i izdataka'!$J$3:$J$524,'Unos rashoda i izdataka'!$C$3:$C$524,"=581",'Unos rashoda i izdataka'!$P$3:$P$524,"=41")+SUMIFS('Unos rashoda P4'!$H$3:$H$501,'Unos rashoda P4'!$A$3:$A$501,"=581",'Unos rashoda P4'!$S$3:$S$501,"=41")</f>
        <v>0</v>
      </c>
      <c r="S33" s="74">
        <f>SUMIFS('Unos rashoda i izdataka'!$J$3:$J$524,'Unos rashoda i izdataka'!$C$3:$C$524,"=61",'Unos rashoda i izdataka'!$P$3:$P$524,"=41")+SUMIFS('Unos rashoda P4'!$H$3:$H$501,'Unos rashoda P4'!$A$3:$A$501,"=61",'Unos rashoda P4'!$S$3:$S$501,"=41")</f>
        <v>0</v>
      </c>
      <c r="T33" s="74">
        <f>SUMIFS('Unos rashoda i izdataka'!$J$3:$J$524,'Unos rashoda i izdataka'!$C$3:$C$524,"=63",'Unos rashoda i izdataka'!$P$3:$P$524,"=41")+SUMIFS('Unos rashoda P4'!$H$3:$H$501,'Unos rashoda P4'!$A$3:$A$501,"=63",'Unos rashoda P4'!$S$3:$S$501,"=41")</f>
        <v>0</v>
      </c>
      <c r="U33" s="74">
        <f>SUMIFS('Unos rashoda i izdataka'!$J$3:$J$524,'Unos rashoda i izdataka'!$C$3:$C$524,"=71",'Unos rashoda i izdataka'!$P$3:$P$524,"=41")+SUMIFS('Unos rashoda P4'!$H$3:$H$501,'Unos rashoda P4'!$A$3:$A$501,"=71",'Unos rashoda P4'!$S$3:$S$501,"=41")</f>
        <v>0</v>
      </c>
      <c r="V33" s="74">
        <f>SUMIFS('Unos rashoda i izdataka'!$J$3:$J$524,'Unos rashoda i izdataka'!$C$3:$C$524,"=81",'Unos rashoda i izdataka'!$P$3:$P$524,"=41")+SUMIFS('Unos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35506</v>
      </c>
      <c r="D34" s="74">
        <f>SUMIFS('Unos rashoda i izdataka'!$J$3:$J$524,'Unos rashoda i izdataka'!$C$3:$C$524,"=11",'Unos rashoda i izdataka'!$P$3:$P$524,"=42")+SUMIFS('Unos rashoda P4'!$H$3:$H$501,'Unos rashoda P4'!$A$3:$A$501,"=11",'Unos rashoda P4'!$S$3:$S$501,"=42")</f>
        <v>35506</v>
      </c>
      <c r="E34" s="74">
        <f>SUMIFS('Unos rashoda i izdataka'!$J$3:$J$524,'Unos rashoda i izdataka'!$C$3:$C$524,"=12",'Unos rashoda i izdataka'!$P$3:$P$524,"=42")+SUMIFS('Unos rashoda P4'!$H$3:$H$501,'Unos rashoda P4'!$A$3:$A$501,"=12",'Unos rashoda P4'!$S$3:$S$501,"=42")</f>
        <v>0</v>
      </c>
      <c r="F34" s="74">
        <f>SUMIFS('Unos rashoda i izdataka'!$J$3:$J$524,'Unos rashoda i izdataka'!$C$3:$C$524,"=31",'Unos rashoda i izdataka'!$P$3:$P$524,"=42")+SUMIFS('Unos rashoda P4'!$H$3:$H$501,'Unos rashoda P4'!$A$3:$A$501,"=31",'Unos rashoda P4'!$S$3:$S$501,"=42")</f>
        <v>0</v>
      </c>
      <c r="G34" s="74">
        <f>SUMIFS('Unos rashoda i izdataka'!$J$3:$J$524,'Unos rashoda i izdataka'!$C$3:$C$524,"=41",'Unos rashoda i izdataka'!$P$3:$P$524,"=42")+SUMIFS('Unos rashoda P4'!$H$3:$H$501,'Unos rashoda P4'!$A$3:$A$501,"=41",'Unos rashoda P4'!$S$3:$S$501,"=42")</f>
        <v>0</v>
      </c>
      <c r="H34" s="74">
        <f>SUMIFS('Unos rashoda i izdataka'!$J$3:$J$524,'Unos rashoda i izdataka'!$C$3:$C$524,"=43",'Unos rashoda i izdataka'!$P$3:$P$524,"=42")+SUMIFS('Unos rashoda P4'!$H$3:$H$501,'Unos rashoda P4'!$A$3:$A$501,"=43",'Unos rashoda P4'!$S$3:$S$501,"=42")</f>
        <v>0</v>
      </c>
      <c r="I34" s="74">
        <f>SUMIFS('Unos rashoda i izdataka'!$J$3:$J$524,'Unos rashoda i izdataka'!$C$3:$C$524,"=51",'Unos rashoda i izdataka'!$P$3:$P$524,"=42")+SUMIFS('Unos rashoda P4'!$H$3:$H$501,'Unos rashoda P4'!$A$3:$A$501,"=51",'Unos rashoda P4'!$S$3:$S$501,"=42")</f>
        <v>0</v>
      </c>
      <c r="J34" s="74">
        <f>SUMIFS('Unos rashoda i izdataka'!$J$3:$J$524,'Unos rashoda i izdataka'!$C$3:$C$524,"=52",'Unos rashoda i izdataka'!$P$3:$P$524,"=42")+SUMIFS('Unos rashoda P4'!$H$3:$H$501,'Unos rashoda P4'!$A$3:$A$501,"=52",'Unos rashoda P4'!$S$3:$S$501,"=42")</f>
        <v>0</v>
      </c>
      <c r="K34" s="74">
        <f>SUMIFS('Unos rashoda i izdataka'!$J$3:$J$524,'Unos rashoda i izdataka'!$C$3:$C$524,"=552",'Unos rashoda i izdataka'!$P$3:$P$524,"=42")+SUMIFS('Unos rashoda P4'!$H$3:$H$501,'Unos rashoda P4'!$A$3:$A$501,"=552",'Unos rashoda P4'!$S$3:$S$501,"=42")</f>
        <v>0</v>
      </c>
      <c r="L34" s="74">
        <f>SUMIFS('Unos rashoda i izdataka'!$J$3:$J$524,'Unos rashoda i izdataka'!$C$3:$C$524,"=559",'Unos rashoda i izdataka'!$P$3:$P$524,"=42")+SUMIFS('Unos rashoda P4'!$H$3:$H$501,'Unos rashoda P4'!$A$3:$A$501,"=559",'Unos rashoda P4'!$S$3:$S$501,"=42")</f>
        <v>0</v>
      </c>
      <c r="M34" s="74">
        <f>SUMIFS('Unos rashoda i izdataka'!$J$3:$J$524,'Unos rashoda i izdataka'!$C$3:$C$524,"=561",'Unos rashoda i izdataka'!$P$3:$P$524,"=42")+SUMIFS('Unos rashoda P4'!$H$3:$H$501,'Unos rashoda P4'!$A$3:$A$501,"=561",'Unos rashoda P4'!$S$3:$S$501,"=42")</f>
        <v>0</v>
      </c>
      <c r="N34" s="74">
        <f>SUMIFS('Unos rashoda i izdataka'!$J$3:$J$524,'Unos rashoda i izdataka'!$C$3:$C$524,"=563",'Unos rashoda i izdataka'!$P$3:$P$524,"=42")+SUMIFS('Unos rashoda P4'!$H$3:$H$501,'Unos rashoda P4'!$A$3:$A$501,"=563",'Unos rashoda P4'!$S$3:$S$501,"=42")</f>
        <v>0</v>
      </c>
      <c r="O34" s="74">
        <f>SUMIFS('Unos rashoda i izdataka'!$J$3:$J$524,'Unos rashoda i izdataka'!$C$3:$C$524,"=573",'Unos rashoda i izdataka'!$P$3:$P$524,"=42")+SUMIFS('Unos rashoda P4'!$H$3:$H$501,'Unos rashoda P4'!$A$3:$A$501,"=573",'Unos rashoda P4'!$S$3:$S$501,"=42")</f>
        <v>0</v>
      </c>
      <c r="P34" s="74">
        <f>SUMIFS('Unos rashoda i izdataka'!$J$3:$J$524,'Unos rashoda i izdataka'!$C$3:$C$524,"=575",'Unos rashoda i izdataka'!$P$3:$P$524,"=42")+SUMIFS('Unos rashoda P4'!$H$3:$H$501,'Unos rashoda P4'!$A$3:$A$501,"=575",'Unos rashoda P4'!$S$3:$S$501,"=42")</f>
        <v>0</v>
      </c>
      <c r="Q34" s="74">
        <f>SUMIFS('Unos rashoda i izdataka'!$J$3:$J$524,'Unos rashoda i izdataka'!$Q$3:$Q$524,"=576",'Unos rashoda i izdataka'!$P$3:$P$524,"=42")+SUMIFS('Unos rashoda P4'!$H$3:$H$501,'Unos rashoda P4'!$A$3:$A$501,"=576",'Unos rashoda P4'!$S$3:$S$501,"=42")</f>
        <v>0</v>
      </c>
      <c r="R34" s="74">
        <f>SUMIFS('Unos rashoda i izdataka'!$J$3:$J$524,'Unos rashoda i izdataka'!$C$3:$C$524,"=581",'Unos rashoda i izdataka'!$P$3:$P$524,"=42")+SUMIFS('Unos rashoda P4'!$H$3:$H$501,'Unos rashoda P4'!$A$3:$A$501,"=581",'Unos rashoda P4'!$S$3:$S$501,"=42")</f>
        <v>0</v>
      </c>
      <c r="S34" s="74">
        <f>SUMIFS('Unos rashoda i izdataka'!$J$3:$J$524,'Unos rashoda i izdataka'!$C$3:$C$524,"=61",'Unos rashoda i izdataka'!$P$3:$P$524,"=42")+SUMIFS('Unos rashoda P4'!$H$3:$H$501,'Unos rashoda P4'!$A$3:$A$501,"=61",'Unos rashoda P4'!$S$3:$S$501,"=42")</f>
        <v>0</v>
      </c>
      <c r="T34" s="74">
        <f>SUMIFS('Unos rashoda i izdataka'!$J$3:$J$524,'Unos rashoda i izdataka'!$C$3:$C$524,"=63",'Unos rashoda i izdataka'!$P$3:$P$524,"=42")+SUMIFS('Unos rashoda P4'!$H$3:$H$501,'Unos rashoda P4'!$A$3:$A$501,"=63",'Unos rashoda P4'!$S$3:$S$501,"=42")</f>
        <v>0</v>
      </c>
      <c r="U34" s="74">
        <f>SUMIFS('Unos rashoda i izdataka'!$J$3:$J$524,'Unos rashoda i izdataka'!$C$3:$C$524,"=71",'Unos rashoda i izdataka'!$P$3:$P$524,"=42")+SUMIFS('Unos rashoda P4'!$H$3:$H$501,'Unos rashoda P4'!$A$3:$A$501,"=71",'Unos rashoda P4'!$S$3:$S$501,"=42")</f>
        <v>0</v>
      </c>
      <c r="V34" s="74">
        <f>SUMIFS('Unos rashoda i izdataka'!$J$3:$J$524,'Unos rashoda i izdataka'!$C$3:$C$524,"=81",'Unos rashoda i izdataka'!$P$3:$P$524,"=42")+SUMIFS('Unos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izdataka'!$J$3:$J$524,'Unos rashoda i izdataka'!$C$3:$C$524,"=11",'Unos rashoda i izdataka'!$P$3:$P$524,"=43")+SUMIFS('Unos rashoda P4'!$H$3:$H$501,'Unos rashoda P4'!$A$3:$A$501,"=11",'Unos rashoda P4'!$S$3:$S$501,"=43")</f>
        <v>0</v>
      </c>
      <c r="E35" s="74">
        <f>SUMIFS('Unos rashoda i izdataka'!$J$3:$J$524,'Unos rashoda i izdataka'!$C$3:$C$524,"=12",'Unos rashoda i izdataka'!$P$3:$P$524,"=43")+SUMIFS('Unos rashoda P4'!$H$3:$H$501,'Unos rashoda P4'!$A$3:$A$501,"=12",'Unos rashoda P4'!$S$3:$S$501,"=43")</f>
        <v>0</v>
      </c>
      <c r="F35" s="74">
        <f>SUMIFS('Unos rashoda i izdataka'!$J$3:$J$524,'Unos rashoda i izdataka'!$C$3:$C$524,"=31",'Unos rashoda i izdataka'!$P$3:$P$524,"=43")+SUMIFS('Unos rashoda P4'!$H$3:$H$501,'Unos rashoda P4'!$A$3:$A$501,"=31",'Unos rashoda P4'!$S$3:$S$501,"=43")</f>
        <v>0</v>
      </c>
      <c r="G35" s="74">
        <f>SUMIFS('Unos rashoda i izdataka'!$J$3:$J$524,'Unos rashoda i izdataka'!$C$3:$C$524,"=41",'Unos rashoda i izdataka'!$P$3:$P$524,"=43")+SUMIFS('Unos rashoda P4'!$H$3:$H$501,'Unos rashoda P4'!$A$3:$A$501,"=41",'Unos rashoda P4'!$S$3:$S$501,"=43")</f>
        <v>0</v>
      </c>
      <c r="H35" s="74">
        <f>SUMIFS('Unos rashoda i izdataka'!$J$3:$J$524,'Unos rashoda i izdataka'!$C$3:$C$524,"=43",'Unos rashoda i izdataka'!$P$3:$P$524,"=43")+SUMIFS('Unos rashoda P4'!$H$3:$H$501,'Unos rashoda P4'!$A$3:$A$501,"=43",'Unos rashoda P4'!$S$3:$S$501,"=43")</f>
        <v>0</v>
      </c>
      <c r="I35" s="74">
        <f>SUMIFS('Unos rashoda i izdataka'!$J$3:$J$524,'Unos rashoda i izdataka'!$C$3:$C$524,"=51",'Unos rashoda i izdataka'!$P$3:$P$524,"=43")+SUMIFS('Unos rashoda P4'!$H$3:$H$501,'Unos rashoda P4'!$A$3:$A$501,"=51",'Unos rashoda P4'!$S$3:$S$501,"=43")</f>
        <v>0</v>
      </c>
      <c r="J35" s="74">
        <f>SUMIFS('Unos rashoda i izdataka'!$J$3:$J$524,'Unos rashoda i izdataka'!$C$3:$C$524,"=52",'Unos rashoda i izdataka'!$P$3:$P$524,"=43")+SUMIFS('Unos rashoda P4'!$H$3:$H$501,'Unos rashoda P4'!$A$3:$A$501,"=52",'Unos rashoda P4'!$S$3:$S$501,"=43")</f>
        <v>0</v>
      </c>
      <c r="K35" s="74">
        <f>SUMIFS('Unos rashoda i izdataka'!$J$3:$J$524,'Unos rashoda i izdataka'!$C$3:$C$524,"=552",'Unos rashoda i izdataka'!$P$3:$P$524,"=43")+SUMIFS('Unos rashoda P4'!$H$3:$H$501,'Unos rashoda P4'!$A$3:$A$501,"=552",'Unos rashoda P4'!$S$3:$S$501,"=43")</f>
        <v>0</v>
      </c>
      <c r="L35" s="74">
        <f>SUMIFS('Unos rashoda i izdataka'!$J$3:$J$524,'Unos rashoda i izdataka'!$C$3:$C$524,"=559",'Unos rashoda i izdataka'!$P$3:$P$524,"=43")+SUMIFS('Unos rashoda P4'!$H$3:$H$501,'Unos rashoda P4'!$A$3:$A$501,"=559",'Unos rashoda P4'!$S$3:$S$501,"=43")</f>
        <v>0</v>
      </c>
      <c r="M35" s="74">
        <f>SUMIFS('Unos rashoda i izdataka'!$J$3:$J$524,'Unos rashoda i izdataka'!$C$3:$C$524,"=561",'Unos rashoda i izdataka'!$P$3:$P$524,"=43")+SUMIFS('Unos rashoda P4'!$H$3:$H$501,'Unos rashoda P4'!$A$3:$A$501,"=561",'Unos rashoda P4'!$S$3:$S$501,"=43")</f>
        <v>0</v>
      </c>
      <c r="N35" s="74">
        <f>SUMIFS('Unos rashoda i izdataka'!$J$3:$J$524,'Unos rashoda i izdataka'!$C$3:$C$524,"=563",'Unos rashoda i izdataka'!$P$3:$P$524,"=43")+SUMIFS('Unos rashoda P4'!$H$3:$H$501,'Unos rashoda P4'!$A$3:$A$501,"=563",'Unos rashoda P4'!$S$3:$S$501,"=43")</f>
        <v>0</v>
      </c>
      <c r="O35" s="74">
        <f>SUMIFS('Unos rashoda i izdataka'!$J$3:$J$524,'Unos rashoda i izdataka'!$C$3:$C$524,"=573",'Unos rashoda i izdataka'!$P$3:$P$524,"=43")+SUMIFS('Unos rashoda P4'!$H$3:$H$501,'Unos rashoda P4'!$A$3:$A$501,"=573",'Unos rashoda P4'!$S$3:$S$501,"=43")</f>
        <v>0</v>
      </c>
      <c r="P35" s="74">
        <f>SUMIFS('Unos rashoda i izdataka'!$J$3:$J$524,'Unos rashoda i izdataka'!$C$3:$C$524,"=575",'Unos rashoda i izdataka'!$P$3:$P$524,"=43")+SUMIFS('Unos rashoda P4'!$H$3:$H$501,'Unos rashoda P4'!$A$3:$A$501,"=575",'Unos rashoda P4'!$S$3:$S$501,"=43")</f>
        <v>0</v>
      </c>
      <c r="Q35" s="74">
        <f>SUMIFS('Unos rashoda i izdataka'!$J$3:$J$524,'Unos rashoda i izdataka'!$Q$3:$Q$524,"=576",'Unos rashoda i izdataka'!$P$3:$P$524,"=43")+SUMIFS('Unos rashoda P4'!$H$3:$H$501,'Unos rashoda P4'!$A$3:$A$501,"=576",'Unos rashoda P4'!$S$3:$S$501,"=43")</f>
        <v>0</v>
      </c>
      <c r="R35" s="74">
        <f>SUMIFS('Unos rashoda i izdataka'!$J$3:$J$524,'Unos rashoda i izdataka'!$C$3:$C$524,"=581",'Unos rashoda i izdataka'!$P$3:$P$524,"=43")+SUMIFS('Unos rashoda P4'!$H$3:$H$501,'Unos rashoda P4'!$A$3:$A$501,"=581",'Unos rashoda P4'!$S$3:$S$501,"=43")</f>
        <v>0</v>
      </c>
      <c r="S35" s="74">
        <f>SUMIFS('Unos rashoda i izdataka'!$J$3:$J$524,'Unos rashoda i izdataka'!$C$3:$C$524,"=61",'Unos rashoda i izdataka'!$P$3:$P$524,"=43")+SUMIFS('Unos rashoda P4'!$H$3:$H$501,'Unos rashoda P4'!$A$3:$A$501,"=61",'Unos rashoda P4'!$S$3:$S$501,"=43")</f>
        <v>0</v>
      </c>
      <c r="T35" s="74">
        <f>SUMIFS('Unos rashoda i izdataka'!$J$3:$J$524,'Unos rashoda i izdataka'!$C$3:$C$524,"=63",'Unos rashoda i izdataka'!$P$3:$P$524,"=43")+SUMIFS('Unos rashoda P4'!$H$3:$H$501,'Unos rashoda P4'!$A$3:$A$501,"=63",'Unos rashoda P4'!$S$3:$S$501,"=43")</f>
        <v>0</v>
      </c>
      <c r="U35" s="74">
        <f>SUMIFS('Unos rashoda i izdataka'!$J$3:$J$524,'Unos rashoda i izdataka'!$C$3:$C$524,"=71",'Unos rashoda i izdataka'!$P$3:$P$524,"=43")+SUMIFS('Unos rashoda P4'!$H$3:$H$501,'Unos rashoda P4'!$A$3:$A$501,"=71",'Unos rashoda P4'!$S$3:$S$501,"=43")</f>
        <v>0</v>
      </c>
      <c r="V35" s="74">
        <f>SUMIFS('Unos rashoda i izdataka'!$J$3:$J$524,'Unos rashoda i izdataka'!$C$3:$C$524,"=81",'Unos rashoda i izdataka'!$P$3:$P$524,"=43")+SUMIFS('Unos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izdataka'!$J$3:$J$524,'Unos rashoda i izdataka'!$C$3:$C$524,"=11",'Unos rashoda i izdataka'!$P$3:$P$524,"=44")+SUMIFS('Unos rashoda P4'!$H$3:$H$501,'Unos rashoda P4'!$A$3:$A$501,"=11",'Unos rashoda P4'!$S$3:$S$501,"=44")</f>
        <v>0</v>
      </c>
      <c r="E36" s="74">
        <f>SUMIFS('Unos rashoda i izdataka'!$J$3:$J$524,'Unos rashoda i izdataka'!$C$3:$C$524,"=12",'Unos rashoda i izdataka'!$P$3:$P$524,"=44")+SUMIFS('Unos rashoda P4'!$H$3:$H$501,'Unos rashoda P4'!$A$3:$A$501,"=12",'Unos rashoda P4'!$S$3:$S$501,"=44")</f>
        <v>0</v>
      </c>
      <c r="F36" s="74">
        <f>SUMIFS('Unos rashoda i izdataka'!$J$3:$J$524,'Unos rashoda i izdataka'!$C$3:$C$524,"=31",'Unos rashoda i izdataka'!$P$3:$P$524,"=44")+SUMIFS('Unos rashoda P4'!$H$3:$H$501,'Unos rashoda P4'!$A$3:$A$501,"=31",'Unos rashoda P4'!$S$3:$S$501,"=44")</f>
        <v>0</v>
      </c>
      <c r="G36" s="74">
        <f>SUMIFS('Unos rashoda i izdataka'!$J$3:$J$524,'Unos rashoda i izdataka'!$C$3:$C$524,"=41",'Unos rashoda i izdataka'!$P$3:$P$524,"=44")+SUMIFS('Unos rashoda P4'!$H$3:$H$501,'Unos rashoda P4'!$A$3:$A$501,"=41",'Unos rashoda P4'!$S$3:$S$501,"=44")</f>
        <v>0</v>
      </c>
      <c r="H36" s="74">
        <f>SUMIFS('Unos rashoda i izdataka'!$J$3:$J$524,'Unos rashoda i izdataka'!$C$3:$C$524,"=43",'Unos rashoda i izdataka'!$P$3:$P$524,"=44")+SUMIFS('Unos rashoda P4'!$H$3:$H$501,'Unos rashoda P4'!$A$3:$A$501,"=43",'Unos rashoda P4'!$S$3:$S$501,"=44")</f>
        <v>0</v>
      </c>
      <c r="I36" s="74">
        <f>SUMIFS('Unos rashoda i izdataka'!$J$3:$J$524,'Unos rashoda i izdataka'!$C$3:$C$524,"=51",'Unos rashoda i izdataka'!$P$3:$P$524,"=44")+SUMIFS('Unos rashoda P4'!$H$3:$H$501,'Unos rashoda P4'!$A$3:$A$501,"=51",'Unos rashoda P4'!$S$3:$S$501,"=44")</f>
        <v>0</v>
      </c>
      <c r="J36" s="74">
        <f>SUMIFS('Unos rashoda i izdataka'!$J$3:$J$524,'Unos rashoda i izdataka'!$C$3:$C$524,"=52",'Unos rashoda i izdataka'!$P$3:$P$524,"=44")+SUMIFS('Unos rashoda P4'!$H$3:$H$501,'Unos rashoda P4'!$A$3:$A$501,"=52",'Unos rashoda P4'!$S$3:$S$501,"=44")</f>
        <v>0</v>
      </c>
      <c r="K36" s="74">
        <f>SUMIFS('Unos rashoda i izdataka'!$J$3:$J$524,'Unos rashoda i izdataka'!$C$3:$C$524,"=552",'Unos rashoda i izdataka'!$P$3:$P$524,"=44")+SUMIFS('Unos rashoda P4'!$H$3:$H$501,'Unos rashoda P4'!$A$3:$A$501,"=552",'Unos rashoda P4'!$S$3:$S$501,"=44")</f>
        <v>0</v>
      </c>
      <c r="L36" s="74">
        <f>SUMIFS('Unos rashoda i izdataka'!$J$3:$J$524,'Unos rashoda i izdataka'!$C$3:$C$524,"=559",'Unos rashoda i izdataka'!$P$3:$P$524,"=44")+SUMIFS('Unos rashoda P4'!$H$3:$H$501,'Unos rashoda P4'!$A$3:$A$501,"=559",'Unos rashoda P4'!$S$3:$S$501,"=44")</f>
        <v>0</v>
      </c>
      <c r="M36" s="74">
        <f>SUMIFS('Unos rashoda i izdataka'!$J$3:$J$524,'Unos rashoda i izdataka'!$C$3:$C$524,"=561",'Unos rashoda i izdataka'!$P$3:$P$524,"=44")+SUMIFS('Unos rashoda P4'!$H$3:$H$501,'Unos rashoda P4'!$A$3:$A$501,"=561",'Unos rashoda P4'!$S$3:$S$501,"=44")</f>
        <v>0</v>
      </c>
      <c r="N36" s="74">
        <f>SUMIFS('Unos rashoda i izdataka'!$J$3:$J$524,'Unos rashoda i izdataka'!$C$3:$C$524,"=563",'Unos rashoda i izdataka'!$P$3:$P$524,"=44")+SUMIFS('Unos rashoda P4'!$H$3:$H$501,'Unos rashoda P4'!$A$3:$A$501,"=563",'Unos rashoda P4'!$S$3:$S$501,"=44")</f>
        <v>0</v>
      </c>
      <c r="O36" s="74">
        <f>SUMIFS('Unos rashoda i izdataka'!$J$3:$J$524,'Unos rashoda i izdataka'!$C$3:$C$524,"=573",'Unos rashoda i izdataka'!$P$3:$P$524,"=44")+SUMIFS('Unos rashoda P4'!$H$3:$H$501,'Unos rashoda P4'!$A$3:$A$501,"=573",'Unos rashoda P4'!$S$3:$S$501,"=44")</f>
        <v>0</v>
      </c>
      <c r="P36" s="74">
        <f>SUMIFS('Unos rashoda i izdataka'!$J$3:$J$524,'Unos rashoda i izdataka'!$C$3:$C$524,"=575",'Unos rashoda i izdataka'!$P$3:$P$524,"=44")+SUMIFS('Unos rashoda P4'!$H$3:$H$501,'Unos rashoda P4'!$A$3:$A$501,"=575",'Unos rashoda P4'!$S$3:$S$501,"=44")</f>
        <v>0</v>
      </c>
      <c r="Q36" s="74">
        <f>SUMIFS('Unos rashoda i izdataka'!$J$3:$J$524,'Unos rashoda i izdataka'!$Q$3:$Q$524,"=576",'Unos rashoda i izdataka'!$P$3:$P$524,"=44")+SUMIFS('Unos rashoda P4'!$H$3:$H$501,'Unos rashoda P4'!$A$3:$A$501,"=576",'Unos rashoda P4'!$S$3:$S$501,"=44")</f>
        <v>0</v>
      </c>
      <c r="R36" s="74">
        <f>SUMIFS('Unos rashoda i izdataka'!$J$3:$J$524,'Unos rashoda i izdataka'!$C$3:$C$524,"=581",'Unos rashoda i izdataka'!$P$3:$P$524,"=44")+SUMIFS('Unos rashoda P4'!$H$3:$H$501,'Unos rashoda P4'!$A$3:$A$501,"=581",'Unos rashoda P4'!$S$3:$S$501,"=44")</f>
        <v>0</v>
      </c>
      <c r="S36" s="74">
        <f>SUMIFS('Unos rashoda i izdataka'!$J$3:$J$524,'Unos rashoda i izdataka'!$C$3:$C$524,"=61",'Unos rashoda i izdataka'!$P$3:$P$524,"=44")+SUMIFS('Unos rashoda P4'!$H$3:$H$501,'Unos rashoda P4'!$A$3:$A$501,"=61",'Unos rashoda P4'!$S$3:$S$501,"=44")</f>
        <v>0</v>
      </c>
      <c r="T36" s="74">
        <f>SUMIFS('Unos rashoda i izdataka'!$J$3:$J$524,'Unos rashoda i izdataka'!$C$3:$C$524,"=63",'Unos rashoda i izdataka'!$P$3:$P$524,"=44")+SUMIFS('Unos rashoda P4'!$H$3:$H$501,'Unos rashoda P4'!$A$3:$A$501,"=63",'Unos rashoda P4'!$S$3:$S$501,"=44")</f>
        <v>0</v>
      </c>
      <c r="U36" s="74">
        <f>SUMIFS('Unos rashoda i izdataka'!$J$3:$J$524,'Unos rashoda i izdataka'!$C$3:$C$524,"=71",'Unos rashoda i izdataka'!$P$3:$P$524,"=44")+SUMIFS('Unos rashoda P4'!$H$3:$H$501,'Unos rashoda P4'!$A$3:$A$501,"=71",'Unos rashoda P4'!$S$3:$S$501,"=44")</f>
        <v>0</v>
      </c>
      <c r="V36" s="74">
        <f>SUMIFS('Unos rashoda i izdataka'!$J$3:$J$524,'Unos rashoda i izdataka'!$C$3:$C$524,"=81",'Unos rashoda i izdataka'!$P$3:$P$524,"=44")+SUMIFS('Unos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izdataka'!$J$3:$J$524,'Unos rashoda i izdataka'!$C$3:$C$524,"=11",'Unos rashoda i izdataka'!$P$3:$P$524,"=45")+SUMIFS('Unos rashoda P4'!$H$3:$H$501,'Unos rashoda P4'!$A$3:$A$501,"=11",'Unos rashoda P4'!$S$3:$S$501,"=45")</f>
        <v>0</v>
      </c>
      <c r="E37" s="74">
        <f>SUMIFS('Unos rashoda i izdataka'!$J$3:$J$524,'Unos rashoda i izdataka'!$C$3:$C$524,"=12",'Unos rashoda i izdataka'!$P$3:$P$524,"=45")+SUMIFS('Unos rashoda P4'!$H$3:$H$501,'Unos rashoda P4'!$A$3:$A$501,"=12",'Unos rashoda P4'!$S$3:$S$501,"=45")</f>
        <v>0</v>
      </c>
      <c r="F37" s="74">
        <f>SUMIFS('Unos rashoda i izdataka'!$J$3:$J$524,'Unos rashoda i izdataka'!$C$3:$C$524,"=31",'Unos rashoda i izdataka'!$P$3:$P$524,"=45")+SUMIFS('Unos rashoda P4'!$H$3:$H$501,'Unos rashoda P4'!$A$3:$A$501,"=31",'Unos rashoda P4'!$S$3:$S$501,"=45")</f>
        <v>0</v>
      </c>
      <c r="G37" s="74">
        <f>SUMIFS('Unos rashoda i izdataka'!$J$3:$J$524,'Unos rashoda i izdataka'!$C$3:$C$524,"=41",'Unos rashoda i izdataka'!$P$3:$P$524,"=45")+SUMIFS('Unos rashoda P4'!$H$3:$H$501,'Unos rashoda P4'!$A$3:$A$501,"=41",'Unos rashoda P4'!$S$3:$S$501,"=45")</f>
        <v>0</v>
      </c>
      <c r="H37" s="74">
        <f>SUMIFS('Unos rashoda i izdataka'!$J$3:$J$524,'Unos rashoda i izdataka'!$C$3:$C$524,"=43",'Unos rashoda i izdataka'!$P$3:$P$524,"=45")+SUMIFS('Unos rashoda P4'!$H$3:$H$501,'Unos rashoda P4'!$A$3:$A$501,"=43",'Unos rashoda P4'!$S$3:$S$501,"=45")</f>
        <v>0</v>
      </c>
      <c r="I37" s="74">
        <f>SUMIFS('Unos rashoda i izdataka'!$J$3:$J$524,'Unos rashoda i izdataka'!$C$3:$C$524,"=51",'Unos rashoda i izdataka'!$P$3:$P$524,"=45")+SUMIFS('Unos rashoda P4'!$H$3:$H$501,'Unos rashoda P4'!$A$3:$A$501,"=51",'Unos rashoda P4'!$S$3:$S$501,"=45")</f>
        <v>0</v>
      </c>
      <c r="J37" s="74">
        <f>SUMIFS('Unos rashoda i izdataka'!$J$3:$J$524,'Unos rashoda i izdataka'!$C$3:$C$524,"=52",'Unos rashoda i izdataka'!$P$3:$P$524,"=45")+SUMIFS('Unos rashoda P4'!$H$3:$H$501,'Unos rashoda P4'!$A$3:$A$501,"=52",'Unos rashoda P4'!$S$3:$S$501,"=45")</f>
        <v>0</v>
      </c>
      <c r="K37" s="74">
        <f>SUMIFS('Unos rashoda i izdataka'!$J$3:$J$524,'Unos rashoda i izdataka'!$C$3:$C$524,"=552",'Unos rashoda i izdataka'!$P$3:$P$524,"=45")+SUMIFS('Unos rashoda P4'!$H$3:$H$501,'Unos rashoda P4'!$A$3:$A$501,"=552",'Unos rashoda P4'!$S$3:$S$501,"=45")</f>
        <v>0</v>
      </c>
      <c r="L37" s="74">
        <f>SUMIFS('Unos rashoda i izdataka'!$J$3:$J$524,'Unos rashoda i izdataka'!$C$3:$C$524,"=559",'Unos rashoda i izdataka'!$P$3:$P$524,"=45")+SUMIFS('Unos rashoda P4'!$H$3:$H$501,'Unos rashoda P4'!$A$3:$A$501,"=559",'Unos rashoda P4'!$S$3:$S$501,"=45")</f>
        <v>0</v>
      </c>
      <c r="M37" s="74">
        <f>SUMIFS('Unos rashoda i izdataka'!$J$3:$J$524,'Unos rashoda i izdataka'!$C$3:$C$524,"=561",'Unos rashoda i izdataka'!$P$3:$P$524,"=45")+SUMIFS('Unos rashoda P4'!$H$3:$H$501,'Unos rashoda P4'!$A$3:$A$501,"=561",'Unos rashoda P4'!$S$3:$S$501,"=45")</f>
        <v>0</v>
      </c>
      <c r="N37" s="74">
        <f>SUMIFS('Unos rashoda i izdataka'!$J$3:$J$524,'Unos rashoda i izdataka'!$C$3:$C$524,"=563",'Unos rashoda i izdataka'!$P$3:$P$524,"=45")+SUMIFS('Unos rashoda P4'!$H$3:$H$501,'Unos rashoda P4'!$A$3:$A$501,"=563",'Unos rashoda P4'!$S$3:$S$501,"=45")</f>
        <v>0</v>
      </c>
      <c r="O37" s="74">
        <f>SUMIFS('Unos rashoda i izdataka'!$J$3:$J$524,'Unos rashoda i izdataka'!$C$3:$C$524,"=573",'Unos rashoda i izdataka'!$P$3:$P$524,"=45")+SUMIFS('Unos rashoda P4'!$H$3:$H$501,'Unos rashoda P4'!$A$3:$A$501,"=573",'Unos rashoda P4'!$S$3:$S$501,"=45")</f>
        <v>0</v>
      </c>
      <c r="P37" s="74">
        <f>SUMIFS('Unos rashoda i izdataka'!$J$3:$J$524,'Unos rashoda i izdataka'!$C$3:$C$524,"=575",'Unos rashoda i izdataka'!$P$3:$P$524,"=45")+SUMIFS('Unos rashoda P4'!$H$3:$H$501,'Unos rashoda P4'!$A$3:$A$501,"=575",'Unos rashoda P4'!$S$3:$S$501,"=45")</f>
        <v>0</v>
      </c>
      <c r="Q37" s="74">
        <f>SUMIFS('Unos rashoda i izdataka'!$J$3:$J$524,'Unos rashoda i izdataka'!$Q$3:$Q$524,"=576",'Unos rashoda i izdataka'!$P$3:$P$524,"=45")+SUMIFS('Unos rashoda P4'!$H$3:$H$501,'Unos rashoda P4'!$A$3:$A$501,"=576",'Unos rashoda P4'!$S$3:$S$501,"=45")</f>
        <v>0</v>
      </c>
      <c r="R37" s="74">
        <f>SUMIFS('Unos rashoda i izdataka'!$J$3:$J$524,'Unos rashoda i izdataka'!$C$3:$C$524,"=581",'Unos rashoda i izdataka'!$P$3:$P$524,"=45")+SUMIFS('Unos rashoda P4'!$H$3:$H$501,'Unos rashoda P4'!$A$3:$A$501,"=581",'Unos rashoda P4'!$S$3:$S$501,"=45")</f>
        <v>0</v>
      </c>
      <c r="S37" s="74">
        <f>SUMIFS('Unos rashoda i izdataka'!$J$3:$J$524,'Unos rashoda i izdataka'!$C$3:$C$524,"=61",'Unos rashoda i izdataka'!$P$3:$P$524,"=45")+SUMIFS('Unos rashoda P4'!$H$3:$H$501,'Unos rashoda P4'!$A$3:$A$501,"=61",'Unos rashoda P4'!$S$3:$S$501,"=45")</f>
        <v>0</v>
      </c>
      <c r="T37" s="74">
        <f>SUMIFS('Unos rashoda i izdataka'!$J$3:$J$524,'Unos rashoda i izdataka'!$C$3:$C$524,"=63",'Unos rashoda i izdataka'!$P$3:$P$524,"=45")+SUMIFS('Unos rashoda P4'!$H$3:$H$501,'Unos rashoda P4'!$A$3:$A$501,"=63",'Unos rashoda P4'!$S$3:$S$501,"=45")</f>
        <v>0</v>
      </c>
      <c r="U37" s="74">
        <f>SUMIFS('Unos rashoda i izdataka'!$J$3:$J$524,'Unos rashoda i izdataka'!$C$3:$C$524,"=71",'Unos rashoda i izdataka'!$P$3:$P$524,"=45")+SUMIFS('Unos rashoda P4'!$H$3:$H$501,'Unos rashoda P4'!$A$3:$A$501,"=71",'Unos rashoda P4'!$S$3:$S$501,"=45")</f>
        <v>0</v>
      </c>
      <c r="V37" s="74">
        <f>SUMIFS('Unos rashoda i izdataka'!$J$3:$J$524,'Unos rashoda i izdataka'!$C$3:$C$524,"=81",'Unos rashoda i izdataka'!$P$3:$P$524,"=45")+SUMIFS('Unos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5266</v>
      </c>
      <c r="C40" s="60">
        <f t="shared" ref="C40:C54" si="5">SUM(D40:V40)</f>
        <v>84738</v>
      </c>
      <c r="D40" s="61">
        <f t="shared" ref="D40:V40" si="6">+D41+D49</f>
        <v>-33372</v>
      </c>
      <c r="E40" s="61">
        <f t="shared" si="6"/>
        <v>0</v>
      </c>
      <c r="F40" s="61">
        <f t="shared" si="6"/>
        <v>31692</v>
      </c>
      <c r="G40" s="61">
        <f t="shared" si="6"/>
        <v>0</v>
      </c>
      <c r="H40" s="61">
        <f t="shared" si="6"/>
        <v>68396</v>
      </c>
      <c r="I40" s="61">
        <f t="shared" si="6"/>
        <v>1320</v>
      </c>
      <c r="J40" s="61">
        <f t="shared" si="6"/>
        <v>16702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74885</v>
      </c>
      <c r="D41" s="68">
        <f t="shared" ref="D41:V41" si="7">+D42+D43+D44+D45+D46+D47+D48</f>
        <v>-19287</v>
      </c>
      <c r="E41" s="68">
        <f t="shared" si="7"/>
        <v>0</v>
      </c>
      <c r="F41" s="68">
        <f t="shared" si="7"/>
        <v>31692</v>
      </c>
      <c r="G41" s="68">
        <f t="shared" si="7"/>
        <v>0</v>
      </c>
      <c r="H41" s="68">
        <f t="shared" si="7"/>
        <v>44458</v>
      </c>
      <c r="I41" s="68">
        <f t="shared" si="7"/>
        <v>1320</v>
      </c>
      <c r="J41" s="68">
        <f t="shared" si="7"/>
        <v>16702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7837</v>
      </c>
      <c r="D42" s="74">
        <f>SUMIFS('Unos rashoda i izdataka'!$K$3:$K$524,'Unos rashoda i izdataka'!$C$3:$C$524,"=11",'Unos rashoda i izdataka'!$P$3:$P$524,"=31")+SUMIFS('Unos rashoda P4'!$I$3:$I$501,'Unos rashoda P4'!$A$3:$A$501,"=11",'Unos rashoda P4'!$S$3:$S$501,"=31")</f>
        <v>6449</v>
      </c>
      <c r="E42" s="74">
        <f>SUMIFS('Unos rashoda i izdataka'!$K$3:$K$524,'Unos rashoda i izdataka'!$C$3:$C$524,"=12",'Unos rashoda i izdataka'!$P$3:$P$524,"=31")+SUMIFS('Unos rashoda P4'!$I$3:$I$501,'Unos rashoda P4'!$A$3:$A$501,"=12",'Unos rashoda P4'!$S$3:$S$501,"=31")</f>
        <v>0</v>
      </c>
      <c r="F42" s="74">
        <f>SUMIFS('Unos rashoda i izdataka'!$K$3:$K$524,'Unos rashoda i izdataka'!$C$3:$C$524,"=31",'Unos rashoda i izdataka'!$P$3:$P$524,"=31")+SUMIFS('Unos rashoda P4'!$I$3:$I$501,'Unos rashoda P4'!$A$3:$A$501,"=31",'Unos rashoda P4'!$S$3:$S$501,"=31")</f>
        <v>0</v>
      </c>
      <c r="G42" s="74">
        <f>SUMIFS('Unos rashoda i izdataka'!$K$3:$K$524,'Unos rashoda i izdataka'!$C$3:$C$524,"=41",'Unos rashoda i izdataka'!$P$3:$P$524,"=31")+SUMIFS('Unos rashoda P4'!$I$3:$I$501,'Unos rashoda P4'!$A$3:$A$501,"=41",'Unos rashoda P4'!$S$3:$S$501,"=31")</f>
        <v>0</v>
      </c>
      <c r="H42" s="74">
        <f>SUMIFS('Unos rashoda i izdataka'!$K$3:$K$524,'Unos rashoda i izdataka'!$C$3:$C$524,"=43",'Unos rashoda i izdataka'!$P$3:$P$524,"=31")+SUMIFS('Unos rashoda P4'!$I$3:$I$501,'Unos rashoda P4'!$A$3:$A$501,"=43",'Unos rashoda P4'!$S$3:$S$501,"=31")</f>
        <v>-1143</v>
      </c>
      <c r="I42" s="74">
        <f>SUMIFS('Unos rashoda i izdataka'!$K$3:$K$524,'Unos rashoda i izdataka'!$C$3:$C$524,"=51",'Unos rashoda i izdataka'!$P$3:$P$524,"=31")+SUMIFS('Unos rashoda P4'!$I$3:$I$501,'Unos rashoda P4'!$A$3:$A$501,"=51",'Unos rashoda P4'!$S$3:$S$501,"=31")</f>
        <v>0</v>
      </c>
      <c r="J42" s="74">
        <f>SUMIFS('Unos rashoda i izdataka'!$K$3:$K$524,'Unos rashoda i izdataka'!$C$3:$C$524,"=52",'Unos rashoda i izdataka'!$P$3:$P$524,"=31")+SUMIFS('Unos rashoda P4'!$I$3:$I$501,'Unos rashoda P4'!$A$3:$A$501,"=52",'Unos rashoda P4'!$S$3:$S$501,"=31")</f>
        <v>2531</v>
      </c>
      <c r="K42" s="74">
        <f>SUMIFS('Unos rashoda i izdataka'!$K$3:$K$524,'Unos rashoda i izdataka'!$C$3:$C$524,"=552",'Unos rashoda i izdataka'!$P$3:$P$524,"=31")+SUMIFS('Unos rashoda P4'!$I$3:$I$501,'Unos rashoda P4'!$A$3:$A$501,"=552",'Unos rashoda P4'!$S$3:$S$501,"=31")</f>
        <v>0</v>
      </c>
      <c r="L42" s="74">
        <f>SUMIFS('Unos rashoda i izdataka'!$K$3:$K$524,'Unos rashoda i izdataka'!$C$3:$C$524,"=559",'Unos rashoda i izdataka'!$P$3:$P$524,"=31")+SUMIFS('Unos rashoda P4'!$I$3:$I$501,'Unos rashoda P4'!$A$3:$A$501,"=559",'Unos rashoda P4'!$S$3:$S$501,"=31")</f>
        <v>0</v>
      </c>
      <c r="M42" s="74">
        <f>SUMIFS('Unos rashoda i izdataka'!$K$3:$K$524,'Unos rashoda i izdataka'!$C$3:$C$524,"=561",'Unos rashoda i izdataka'!$P$3:$P$524,"=31")+SUMIFS('Unos rashoda P4'!$I$3:$I$501,'Unos rashoda P4'!$A$3:$A$501,"=561",'Unos rashoda P4'!$S$3:$S$501,"=31")</f>
        <v>0</v>
      </c>
      <c r="N42" s="74">
        <f>SUMIFS('Unos rashoda i izdataka'!$K$3:$K$524,'Unos rashoda i izdataka'!$C$3:$C$524,"=563",'Unos rashoda i izdataka'!$P$3:$P$524,"=31")+SUMIFS('Unos rashoda P4'!$I$3:$I$501,'Unos rashoda P4'!$A$3:$A$501,"=563",'Unos rashoda P4'!$S$3:$S$501,"=31")</f>
        <v>0</v>
      </c>
      <c r="O42" s="74">
        <f>SUMIFS('Unos rashoda i izdataka'!$K$3:$K$524,'Unos rashoda i izdataka'!$C$3:$C$524,"=573",'Unos rashoda i izdataka'!$P$3:$P$524,"=31")+SUMIFS('Unos rashoda P4'!$I$3:$I$501,'Unos rashoda P4'!$A$3:$A$501,"=573",'Unos rashoda P4'!$S$3:$S$501,"=31")</f>
        <v>0</v>
      </c>
      <c r="P42" s="74">
        <f>SUMIFS('Unos rashoda i izdataka'!$K$3:$K$524,'Unos rashoda i izdataka'!$C$3:$C$524,"=575",'Unos rashoda i izdataka'!$P$3:$P$524,"=31")+SUMIFS('Unos rashoda P4'!$I$3:$I$501,'Unos rashoda P4'!$A$3:$A$501,"=575",'Unos rashoda P4'!$S$3:$S$501,"=31")</f>
        <v>0</v>
      </c>
      <c r="Q42" s="74">
        <f>SUMIFS('Unos rashoda i izdataka'!$K$3:$K$524,'Unos rashoda i izdataka'!$Q$3:$Q$524,"=576",'Unos rashoda i izdataka'!$P$3:$P$524,"=31")+SUMIFS('Unos rashoda P4'!$I$3:$I$501,'Unos rashoda P4'!$A$3:$A$501,"=576",'Unos rashoda P4'!$S$3:$S$501,"=31")</f>
        <v>0</v>
      </c>
      <c r="R42" s="74">
        <f>SUMIFS('Unos rashoda i izdataka'!$K$3:$K$524,'Unos rashoda i izdataka'!$C$3:$C$524,"=581",'Unos rashoda i izdataka'!$P$3:$P$524,"=31")+SUMIFS('Unos rashoda P4'!$I$3:$I$501,'Unos rashoda P4'!$A$3:$A$501,"=581",'Unos rashoda P4'!$S$3:$S$501,"=31")</f>
        <v>0</v>
      </c>
      <c r="S42" s="74">
        <f>SUMIFS('Unos rashoda i izdataka'!$K$3:$K$524,'Unos rashoda i izdataka'!$C$3:$C$524,"=61",'Unos rashoda i izdataka'!$P$3:$P$524,"=31")+SUMIFS('Unos rashoda P4'!$I$3:$I$501,'Unos rashoda P4'!$A$3:$A$501,"=61",'Unos rashoda P4'!$S$3:$S$501,"=31")</f>
        <v>0</v>
      </c>
      <c r="T42" s="74">
        <f>SUMIFS('Unos rashoda i izdataka'!$K$3:$K$524,'Unos rashoda i izdataka'!$C$3:$C$524,"=63",'Unos rashoda i izdataka'!$P$3:$P$524,"=31")+SUMIFS('Unos rashoda P4'!$I$3:$I$501,'Unos rashoda P4'!$A$3:$A$501,"=63",'Unos rashoda P4'!$S$3:$S$501,"=31")</f>
        <v>0</v>
      </c>
      <c r="U42" s="74">
        <f>SUMIFS('Unos rashoda i izdataka'!$K$3:$K$524,'Unos rashoda i izdataka'!$C$3:$C$524,"=71",'Unos rashoda i izdataka'!$P$3:$P$524,"=31")+SUMIFS('Unos rashoda P4'!$I$3:$I$501,'Unos rashoda P4'!$A$3:$A$501,"=71",'Unos rashoda P4'!$S$3:$S$501,"=31")</f>
        <v>0</v>
      </c>
      <c r="V42" s="74">
        <f>SUMIFS('Unos rashoda i izdataka'!$K$3:$K$524,'Unos rashoda i izdataka'!$C$3:$C$524,"=81",'Unos rashoda i izdataka'!$P$3:$P$524,"=31")+SUMIFS('Unos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66487</v>
      </c>
      <c r="D43" s="74">
        <f>SUMIFS('Unos rashoda i izdataka'!$K$3:$K$524,'Unos rashoda i izdataka'!$C$3:$C$524,"=11",'Unos rashoda i izdataka'!$P$3:$P$524,"=32")+SUMIFS('Unos rashoda P4'!$I$3:$I$501,'Unos rashoda P4'!$A$3:$A$501,"=11",'Unos rashoda P4'!$S$3:$S$501,"=32")</f>
        <v>-27039</v>
      </c>
      <c r="E43" s="74">
        <f>SUMIFS('Unos rashoda i izdataka'!$K$3:$K$524,'Unos rashoda i izdataka'!$C$3:$C$524,"=12",'Unos rashoda i izdataka'!$P$3:$P$524,"=32")+SUMIFS('Unos rashoda P4'!$I$3:$I$501,'Unos rashoda P4'!$A$3:$A$501,"=12",'Unos rashoda P4'!$S$3:$S$501,"=32")</f>
        <v>0</v>
      </c>
      <c r="F43" s="74">
        <f>SUMIFS('Unos rashoda i izdataka'!$K$3:$K$524,'Unos rashoda i izdataka'!$C$3:$C$524,"=31",'Unos rashoda i izdataka'!$P$3:$P$524,"=32")+SUMIFS('Unos rashoda P4'!$I$3:$I$501,'Unos rashoda P4'!$A$3:$A$501,"=31",'Unos rashoda P4'!$S$3:$S$501,"=32")</f>
        <v>31607</v>
      </c>
      <c r="G43" s="74">
        <f>SUMIFS('Unos rashoda i izdataka'!$K$3:$K$524,'Unos rashoda i izdataka'!$C$3:$C$524,"=41",'Unos rashoda i izdataka'!$P$3:$P$524,"=32")+SUMIFS('Unos rashoda P4'!$I$3:$I$501,'Unos rashoda P4'!$A$3:$A$501,"=41",'Unos rashoda P4'!$S$3:$S$501,"=32")</f>
        <v>0</v>
      </c>
      <c r="H43" s="74">
        <f>SUMIFS('Unos rashoda i izdataka'!$K$3:$K$524,'Unos rashoda i izdataka'!$C$3:$C$524,"=43",'Unos rashoda i izdataka'!$P$3:$P$524,"=32")+SUMIFS('Unos rashoda P4'!$I$3:$I$501,'Unos rashoda P4'!$A$3:$A$501,"=43",'Unos rashoda P4'!$S$3:$S$501,"=32")</f>
        <v>45101</v>
      </c>
      <c r="I43" s="74">
        <f>SUMIFS('Unos rashoda i izdataka'!$K$3:$K$524,'Unos rashoda i izdataka'!$C$3:$C$524,"=51",'Unos rashoda i izdataka'!$P$3:$P$524,"=32")+SUMIFS('Unos rashoda P4'!$I$3:$I$501,'Unos rashoda P4'!$A$3:$A$501,"=51",'Unos rashoda P4'!$S$3:$S$501,"=32")</f>
        <v>1320</v>
      </c>
      <c r="J43" s="74">
        <f>SUMIFS('Unos rashoda i izdataka'!$K$3:$K$524,'Unos rashoda i izdataka'!$C$3:$C$524,"=52",'Unos rashoda i izdataka'!$P$3:$P$524,"=32")+SUMIFS('Unos rashoda P4'!$I$3:$I$501,'Unos rashoda P4'!$A$3:$A$501,"=52",'Unos rashoda P4'!$S$3:$S$501,"=32")</f>
        <v>15498</v>
      </c>
      <c r="K43" s="74">
        <f>SUMIFS('Unos rashoda i izdataka'!$K$3:$K$524,'Unos rashoda i izdataka'!$C$3:$C$524,"=552",'Unos rashoda i izdataka'!$P$3:$P$524,"=32")+SUMIFS('Unos rashoda P4'!$I$3:$I$501,'Unos rashoda P4'!$A$3:$A$501,"=552",'Unos rashoda P4'!$S$3:$S$501,"=32")</f>
        <v>0</v>
      </c>
      <c r="L43" s="74">
        <f>SUMIFS('Unos rashoda i izdataka'!$K$3:$K$524,'Unos rashoda i izdataka'!$C$3:$C$524,"=559",'Unos rashoda i izdataka'!$P$3:$P$524,"=32")+SUMIFS('Unos rashoda P4'!$I$3:$I$501,'Unos rashoda P4'!$A$3:$A$501,"=559",'Unos rashoda P4'!$S$3:$S$501,"=32")</f>
        <v>0</v>
      </c>
      <c r="M43" s="74">
        <f>SUMIFS('Unos rashoda i izdataka'!$K$3:$K$524,'Unos rashoda i izdataka'!$C$3:$C$524,"=561",'Unos rashoda i izdataka'!$P$3:$P$524,"=32")+SUMIFS('Unos rashoda P4'!$I$3:$I$501,'Unos rashoda P4'!$A$3:$A$501,"=561",'Unos rashoda P4'!$S$3:$S$501,"=32")</f>
        <v>0</v>
      </c>
      <c r="N43" s="74">
        <f>SUMIFS('Unos rashoda i izdataka'!$K$3:$K$524,'Unos rashoda i izdataka'!$C$3:$C$524,"=563",'Unos rashoda i izdataka'!$P$3:$P$524,"=32")+SUMIFS('Unos rashoda P4'!$I$3:$I$501,'Unos rashoda P4'!$A$3:$A$501,"=563",'Unos rashoda P4'!$S$3:$S$501,"=32")</f>
        <v>0</v>
      </c>
      <c r="O43" s="74">
        <f>SUMIFS('Unos rashoda i izdataka'!$K$3:$K$524,'Unos rashoda i izdataka'!$C$3:$C$524,"=573",'Unos rashoda i izdataka'!$P$3:$P$524,"=32")+SUMIFS('Unos rashoda P4'!$I$3:$I$501,'Unos rashoda P4'!$A$3:$A$501,"=573",'Unos rashoda P4'!$S$3:$S$501,"=32")</f>
        <v>0</v>
      </c>
      <c r="P43" s="74">
        <f>SUMIFS('Unos rashoda i izdataka'!$K$3:$K$524,'Unos rashoda i izdataka'!$C$3:$C$524,"=575",'Unos rashoda i izdataka'!$P$3:$P$524,"=32")+SUMIFS('Unos rashoda P4'!$I$3:$I$501,'Unos rashoda P4'!$A$3:$A$501,"=575",'Unos rashoda P4'!$S$3:$S$501,"=32")</f>
        <v>0</v>
      </c>
      <c r="Q43" s="74">
        <f>SUMIFS('Unos rashoda i izdataka'!$K$3:$K$524,'Unos rashoda i izdataka'!$Q$3:$Q$524,"=576",'Unos rashoda i izdataka'!$P$3:$P$524,"=32")+SUMIFS('Unos rashoda P4'!$I$3:$I$501,'Unos rashoda P4'!$A$3:$A$501,"=576",'Unos rashoda P4'!$S$3:$S$501,"=32")</f>
        <v>0</v>
      </c>
      <c r="R43" s="74">
        <f>SUMIFS('Unos rashoda i izdataka'!$K$3:$K$524,'Unos rashoda i izdataka'!$C$3:$C$524,"=581",'Unos rashoda i izdataka'!$P$3:$P$524,"=32")+SUMIFS('Unos rashoda P4'!$I$3:$I$501,'Unos rashoda P4'!$A$3:$A$501,"=581",'Unos rashoda P4'!$S$3:$S$501,"=32")</f>
        <v>0</v>
      </c>
      <c r="S43" s="74">
        <f>SUMIFS('Unos rashoda i izdataka'!$K$3:$K$524,'Unos rashoda i izdataka'!$C$3:$C$524,"=61",'Unos rashoda i izdataka'!$P$3:$P$524,"=32")+SUMIFS('Unos rashoda P4'!$I$3:$I$501,'Unos rashoda P4'!$A$3:$A$501,"=61",'Unos rashoda P4'!$S$3:$S$501,"=32")</f>
        <v>0</v>
      </c>
      <c r="T43" s="74">
        <f>SUMIFS('Unos rashoda i izdataka'!$K$3:$K$524,'Unos rashoda i izdataka'!$C$3:$C$524,"=63",'Unos rashoda i izdataka'!$P$3:$P$524,"=32")+SUMIFS('Unos rashoda P4'!$I$3:$I$501,'Unos rashoda P4'!$A$3:$A$501,"=63",'Unos rashoda P4'!$S$3:$S$501,"=32")</f>
        <v>0</v>
      </c>
      <c r="U43" s="74">
        <f>SUMIFS('Unos rashoda i izdataka'!$K$3:$K$524,'Unos rashoda i izdataka'!$C$3:$C$524,"=71",'Unos rashoda i izdataka'!$P$3:$P$524,"=32")+SUMIFS('Unos rashoda P4'!$I$3:$I$501,'Unos rashoda P4'!$A$3:$A$501,"=71",'Unos rashoda P4'!$S$3:$S$501,"=32")</f>
        <v>0</v>
      </c>
      <c r="V43" s="74">
        <f>SUMIFS('Unos rashoda i izdataka'!$K$3:$K$524,'Unos rashoda i izdataka'!$C$3:$C$524,"=81",'Unos rashoda i izdataka'!$P$3:$P$524,"=32")+SUMIFS('Unos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557</v>
      </c>
      <c r="D44" s="74">
        <f>SUMIFS('Unos rashoda i izdataka'!$K$3:$K$524,'Unos rashoda i izdataka'!$C$3:$C$524,"=11",'Unos rashoda i izdataka'!$P$3:$P$524,"=34")+SUMIFS('Unos rashoda P4'!$I$3:$I$501,'Unos rashoda P4'!$A$3:$A$501,"=11",'Unos rashoda P4'!$S$3:$S$501,"=34")</f>
        <v>-28</v>
      </c>
      <c r="E44" s="74">
        <f>SUMIFS('Unos rashoda i izdataka'!$K$3:$K$524,'Unos rashoda i izdataka'!$C$3:$C$524,"=12",'Unos rashoda i izdataka'!$P$3:$P$524,"=34")+SUMIFS('Unos rashoda P4'!$I$3:$I$501,'Unos rashoda P4'!$A$3:$A$501,"=12",'Unos rashoda P4'!$S$3:$S$501,"=34")</f>
        <v>0</v>
      </c>
      <c r="F44" s="74">
        <f>SUMIFS('Unos rashoda i izdataka'!$K$3:$K$524,'Unos rashoda i izdataka'!$C$3:$C$524,"=31",'Unos rashoda i izdataka'!$P$3:$P$524,"=34")+SUMIFS('Unos rashoda P4'!$I$3:$I$501,'Unos rashoda P4'!$A$3:$A$501,"=31",'Unos rashoda P4'!$S$3:$S$501,"=34")</f>
        <v>85</v>
      </c>
      <c r="G44" s="74">
        <f>SUMIFS('Unos rashoda i izdataka'!$K$3:$K$524,'Unos rashoda i izdataka'!$C$3:$C$524,"=41",'Unos rashoda i izdataka'!$P$3:$P$524,"=34")+SUMIFS('Unos rashoda P4'!$I$3:$I$501,'Unos rashoda P4'!$A$3:$A$501,"=41",'Unos rashoda P4'!$S$3:$S$501,"=34")</f>
        <v>0</v>
      </c>
      <c r="H44" s="74">
        <f>SUMIFS('Unos rashoda i izdataka'!$K$3:$K$524,'Unos rashoda i izdataka'!$C$3:$C$524,"=43",'Unos rashoda i izdataka'!$P$3:$P$524,"=34")+SUMIFS('Unos rashoda P4'!$I$3:$I$501,'Unos rashoda P4'!$A$3:$A$501,"=43",'Unos rashoda P4'!$S$3:$S$501,"=34")</f>
        <v>500</v>
      </c>
      <c r="I44" s="74">
        <f>SUMIFS('Unos rashoda i izdataka'!$K$3:$K$524,'Unos rashoda i izdataka'!$C$3:$C$524,"=51",'Unos rashoda i izdataka'!$P$3:$P$524,"=34")+SUMIFS('Unos rashoda P4'!$I$3:$I$501,'Unos rashoda P4'!$A$3:$A$501,"=51",'Unos rashoda P4'!$S$3:$S$501,"=34")</f>
        <v>0</v>
      </c>
      <c r="J44" s="74">
        <f>SUMIFS('Unos rashoda i izdataka'!$K$3:$K$524,'Unos rashoda i izdataka'!$C$3:$C$524,"=52",'Unos rashoda i izdataka'!$P$3:$P$524,"=34")+SUMIFS('Unos rashoda P4'!$I$3:$I$501,'Unos rashoda P4'!$A$3:$A$501,"=52",'Unos rashoda P4'!$S$3:$S$501,"=34")</f>
        <v>0</v>
      </c>
      <c r="K44" s="74">
        <f>SUMIFS('Unos rashoda i izdataka'!$K$3:$K$524,'Unos rashoda i izdataka'!$C$3:$C$524,"=552",'Unos rashoda i izdataka'!$P$3:$P$524,"=34")+SUMIFS('Unos rashoda P4'!$I$3:$I$501,'Unos rashoda P4'!$A$3:$A$501,"=552",'Unos rashoda P4'!$S$3:$S$501,"=34")</f>
        <v>0</v>
      </c>
      <c r="L44" s="74">
        <f>SUMIFS('Unos rashoda i izdataka'!$K$3:$K$524,'Unos rashoda i izdataka'!$C$3:$C$524,"=559",'Unos rashoda i izdataka'!$P$3:$P$524,"=34")+SUMIFS('Unos rashoda P4'!$I$3:$I$501,'Unos rashoda P4'!$A$3:$A$501,"=559",'Unos rashoda P4'!$S$3:$S$501,"=34")</f>
        <v>0</v>
      </c>
      <c r="M44" s="74">
        <f>SUMIFS('Unos rashoda i izdataka'!$K$3:$K$524,'Unos rashoda i izdataka'!$C$3:$C$524,"=561",'Unos rashoda i izdataka'!$P$3:$P$524,"=34")+SUMIFS('Unos rashoda P4'!$I$3:$I$501,'Unos rashoda P4'!$A$3:$A$501,"=561",'Unos rashoda P4'!$S$3:$S$501,"=34")</f>
        <v>0</v>
      </c>
      <c r="N44" s="74">
        <f>SUMIFS('Unos rashoda i izdataka'!$K$3:$K$524,'Unos rashoda i izdataka'!$C$3:$C$524,"=563",'Unos rashoda i izdataka'!$P$3:$P$524,"=34")+SUMIFS('Unos rashoda P4'!$I$3:$I$501,'Unos rashoda P4'!$A$3:$A$501,"=563",'Unos rashoda P4'!$S$3:$S$501,"=34")</f>
        <v>0</v>
      </c>
      <c r="O44" s="74">
        <f>SUMIFS('Unos rashoda i izdataka'!$K$3:$K$524,'Unos rashoda i izdataka'!$C$3:$C$524,"=573",'Unos rashoda i izdataka'!$P$3:$P$524,"=34")+SUMIFS('Unos rashoda P4'!$I$3:$I$501,'Unos rashoda P4'!$A$3:$A$501,"=573",'Unos rashoda P4'!$S$3:$S$501,"=34")</f>
        <v>0</v>
      </c>
      <c r="P44" s="74">
        <f>SUMIFS('Unos rashoda i izdataka'!$K$3:$K$524,'Unos rashoda i izdataka'!$C$3:$C$524,"=575",'Unos rashoda i izdataka'!$P$3:$P$524,"=34")+SUMIFS('Unos rashoda P4'!$I$3:$I$501,'Unos rashoda P4'!$A$3:$A$501,"=575",'Unos rashoda P4'!$S$3:$S$501,"=34")</f>
        <v>0</v>
      </c>
      <c r="Q44" s="74">
        <f>SUMIFS('Unos rashoda i izdataka'!$K$3:$K$524,'Unos rashoda i izdataka'!$Q$3:$Q$524,"=576",'Unos rashoda i izdataka'!$P$3:$P$524,"=34")+SUMIFS('Unos rashoda P4'!$I$3:$I$501,'Unos rashoda P4'!$A$3:$A$501,"=576",'Unos rashoda P4'!$S$3:$S$501,"=34")</f>
        <v>0</v>
      </c>
      <c r="R44" s="74">
        <f>SUMIFS('Unos rashoda i izdataka'!$K$3:$K$524,'Unos rashoda i izdataka'!$C$3:$C$524,"=581",'Unos rashoda i izdataka'!$P$3:$P$524,"=34")+SUMIFS('Unos rashoda P4'!$I$3:$I$501,'Unos rashoda P4'!$A$3:$A$501,"=581",'Unos rashoda P4'!$S$3:$S$501,"=34")</f>
        <v>0</v>
      </c>
      <c r="S44" s="74">
        <f>SUMIFS('Unos rashoda i izdataka'!$K$3:$K$524,'Unos rashoda i izdataka'!$C$3:$C$524,"=61",'Unos rashoda i izdataka'!$P$3:$P$524,"=34")+SUMIFS('Unos rashoda P4'!$I$3:$I$501,'Unos rashoda P4'!$A$3:$A$501,"=61",'Unos rashoda P4'!$S$3:$S$501,"=34")</f>
        <v>0</v>
      </c>
      <c r="T44" s="74">
        <f>SUMIFS('Unos rashoda i izdataka'!$K$3:$K$524,'Unos rashoda i izdataka'!$C$3:$C$524,"=63",'Unos rashoda i izdataka'!$P$3:$P$524,"=34")+SUMIFS('Unos rashoda P4'!$I$3:$I$501,'Unos rashoda P4'!$A$3:$A$501,"=63",'Unos rashoda P4'!$S$3:$S$501,"=34")</f>
        <v>0</v>
      </c>
      <c r="U44" s="74">
        <f>SUMIFS('Unos rashoda i izdataka'!$K$3:$K$524,'Unos rashoda i izdataka'!$C$3:$C$524,"=71",'Unos rashoda i izdataka'!$P$3:$P$524,"=34")+SUMIFS('Unos rashoda P4'!$I$3:$I$501,'Unos rashoda P4'!$A$3:$A$501,"=71",'Unos rashoda P4'!$S$3:$S$501,"=34")</f>
        <v>0</v>
      </c>
      <c r="V44" s="74">
        <f>SUMIFS('Unos rashoda i izdataka'!$K$3:$K$524,'Unos rashoda i izdataka'!$C$3:$C$524,"=81",'Unos rashoda i izdataka'!$P$3:$P$524,"=34")+SUMIFS('Unos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izdataka'!$K$3:$K$524,'Unos rashoda i izdataka'!$C$3:$C$524,"=11",'Unos rashoda i izdataka'!$P$3:$P$524,"=35")+SUMIFS('Unos rashoda P4'!$I$3:$I$501,'Unos rashoda P4'!$A$3:$A$501,"=11",'Unos rashoda P4'!$S$3:$S$501,"=35")</f>
        <v>0</v>
      </c>
      <c r="E45" s="74">
        <f>SUMIFS('Unos rashoda i izdataka'!$K$3:$K$524,'Unos rashoda i izdataka'!$C$3:$C$524,"=12",'Unos rashoda i izdataka'!$P$3:$P$524,"=35")+SUMIFS('Unos rashoda P4'!$I$3:$I$501,'Unos rashoda P4'!$A$3:$A$501,"=12",'Unos rashoda P4'!$S$3:$S$501,"=35")</f>
        <v>0</v>
      </c>
      <c r="F45" s="74">
        <f>SUMIFS('Unos rashoda i izdataka'!$K$3:$K$524,'Unos rashoda i izdataka'!$C$3:$C$524,"=31",'Unos rashoda i izdataka'!$P$3:$P$524,"=35")+SUMIFS('Unos rashoda P4'!$I$3:$I$501,'Unos rashoda P4'!$A$3:$A$501,"=31",'Unos rashoda P4'!$S$3:$S$501,"=35")</f>
        <v>0</v>
      </c>
      <c r="G45" s="74">
        <f>SUMIFS('Unos rashoda i izdataka'!$K$3:$K$524,'Unos rashoda i izdataka'!$C$3:$C$524,"=41",'Unos rashoda i izdataka'!$P$3:$P$524,"=35")+SUMIFS('Unos rashoda P4'!$I$3:$I$501,'Unos rashoda P4'!$A$3:$A$501,"=41",'Unos rashoda P4'!$S$3:$S$501,"=35")</f>
        <v>0</v>
      </c>
      <c r="H45" s="74">
        <f>SUMIFS('Unos rashoda i izdataka'!$K$3:$K$524,'Unos rashoda i izdataka'!$C$3:$C$524,"=43",'Unos rashoda i izdataka'!$P$3:$P$524,"=35")+SUMIFS('Unos rashoda P4'!$I$3:$I$501,'Unos rashoda P4'!$A$3:$A$501,"=43",'Unos rashoda P4'!$S$3:$S$501,"=35")</f>
        <v>0</v>
      </c>
      <c r="I45" s="74">
        <f>SUMIFS('Unos rashoda i izdataka'!$K$3:$K$524,'Unos rashoda i izdataka'!$C$3:$C$524,"=51",'Unos rashoda i izdataka'!$P$3:$P$524,"=35")+SUMIFS('Unos rashoda P4'!$I$3:$I$501,'Unos rashoda P4'!$A$3:$A$501,"=51",'Unos rashoda P4'!$S$3:$S$501,"=35")</f>
        <v>0</v>
      </c>
      <c r="J45" s="74">
        <f>SUMIFS('Unos rashoda i izdataka'!$K$3:$K$524,'Unos rashoda i izdataka'!$C$3:$C$524,"=52",'Unos rashoda i izdataka'!$P$3:$P$524,"=35")+SUMIFS('Unos rashoda P4'!$I$3:$I$501,'Unos rashoda P4'!$A$3:$A$501,"=52",'Unos rashoda P4'!$S$3:$S$501,"=35")</f>
        <v>0</v>
      </c>
      <c r="K45" s="74">
        <f>SUMIFS('Unos rashoda i izdataka'!$K$3:$K$524,'Unos rashoda i izdataka'!$C$3:$C$524,"=552",'Unos rashoda i izdataka'!$P$3:$P$524,"=35")+SUMIFS('Unos rashoda P4'!$I$3:$I$501,'Unos rashoda P4'!$A$3:$A$501,"=552",'Unos rashoda P4'!$S$3:$S$501,"=35")</f>
        <v>0</v>
      </c>
      <c r="L45" s="74">
        <f>SUMIFS('Unos rashoda i izdataka'!$K$3:$K$524,'Unos rashoda i izdataka'!$C$3:$C$524,"=559",'Unos rashoda i izdataka'!$P$3:$P$524,"=35")+SUMIFS('Unos rashoda P4'!$I$3:$I$501,'Unos rashoda P4'!$A$3:$A$501,"=559",'Unos rashoda P4'!$S$3:$S$501,"=35")</f>
        <v>0</v>
      </c>
      <c r="M45" s="74">
        <f>SUMIFS('Unos rashoda i izdataka'!$K$3:$K$524,'Unos rashoda i izdataka'!$C$3:$C$524,"=561",'Unos rashoda i izdataka'!$P$3:$P$524,"=35")+SUMIFS('Unos rashoda P4'!$I$3:$I$501,'Unos rashoda P4'!$A$3:$A$501,"=561",'Unos rashoda P4'!$S$3:$S$501,"=35")</f>
        <v>0</v>
      </c>
      <c r="N45" s="74">
        <f>SUMIFS('Unos rashoda i izdataka'!$K$3:$K$524,'Unos rashoda i izdataka'!$C$3:$C$524,"=563",'Unos rashoda i izdataka'!$P$3:$P$524,"=35")+SUMIFS('Unos rashoda P4'!$I$3:$I$501,'Unos rashoda P4'!$A$3:$A$501,"=563",'Unos rashoda P4'!$S$3:$S$501,"=35")</f>
        <v>0</v>
      </c>
      <c r="O45" s="74">
        <f>SUMIFS('Unos rashoda i izdataka'!$K$3:$K$524,'Unos rashoda i izdataka'!$C$3:$C$524,"=573",'Unos rashoda i izdataka'!$P$3:$P$524,"=35")+SUMIFS('Unos rashoda P4'!$I$3:$I$501,'Unos rashoda P4'!$A$3:$A$501,"=573",'Unos rashoda P4'!$S$3:$S$501,"=35")</f>
        <v>0</v>
      </c>
      <c r="P45" s="74">
        <f>SUMIFS('Unos rashoda i izdataka'!$K$3:$K$524,'Unos rashoda i izdataka'!$C$3:$C$524,"=575",'Unos rashoda i izdataka'!$P$3:$P$524,"=35")+SUMIFS('Unos rashoda P4'!$I$3:$I$501,'Unos rashoda P4'!$A$3:$A$501,"=575",'Unos rashoda P4'!$S$3:$S$501,"=35")</f>
        <v>0</v>
      </c>
      <c r="Q45" s="74">
        <f>SUMIFS('Unos rashoda i izdataka'!$K$3:$K$524,'Unos rashoda i izdataka'!$Q$3:$Q$524,"=576",'Unos rashoda i izdataka'!$P$3:$P$524,"=35")+SUMIFS('Unos rashoda P4'!$I$3:$I$501,'Unos rashoda P4'!$A$3:$A$501,"=576",'Unos rashoda P4'!$S$3:$S$501,"=35")</f>
        <v>0</v>
      </c>
      <c r="R45" s="74">
        <f>SUMIFS('Unos rashoda i izdataka'!$K$3:$K$524,'Unos rashoda i izdataka'!$C$3:$C$524,"=581",'Unos rashoda i izdataka'!$P$3:$P$524,"=35")+SUMIFS('Unos rashoda P4'!$I$3:$I$501,'Unos rashoda P4'!$A$3:$A$501,"=581",'Unos rashoda P4'!$S$3:$S$501,"=35")</f>
        <v>0</v>
      </c>
      <c r="S45" s="74">
        <f>SUMIFS('Unos rashoda i izdataka'!$K$3:$K$524,'Unos rashoda i izdataka'!$C$3:$C$524,"=61",'Unos rashoda i izdataka'!$P$3:$P$524,"=35")+SUMIFS('Unos rashoda P4'!$I$3:$I$501,'Unos rashoda P4'!$A$3:$A$501,"=61",'Unos rashoda P4'!$S$3:$S$501,"=35")</f>
        <v>0</v>
      </c>
      <c r="T45" s="74">
        <f>SUMIFS('Unos rashoda i izdataka'!$K$3:$K$524,'Unos rashoda i izdataka'!$C$3:$C$524,"=63",'Unos rashoda i izdataka'!$P$3:$P$524,"=35")+SUMIFS('Unos rashoda P4'!$I$3:$I$501,'Unos rashoda P4'!$A$3:$A$501,"=63",'Unos rashoda P4'!$S$3:$S$501,"=35")</f>
        <v>0</v>
      </c>
      <c r="U45" s="74">
        <f>SUMIFS('Unos rashoda i izdataka'!$K$3:$K$524,'Unos rashoda i izdataka'!$C$3:$C$524,"=71",'Unos rashoda i izdataka'!$P$3:$P$524,"=35")+SUMIFS('Unos rashoda P4'!$I$3:$I$501,'Unos rashoda P4'!$A$3:$A$501,"=71",'Unos rashoda P4'!$S$3:$S$501,"=35")</f>
        <v>0</v>
      </c>
      <c r="V45" s="74">
        <f>SUMIFS('Unos rashoda i izdataka'!$K$3:$K$524,'Unos rashoda i izdataka'!$C$3:$C$524,"=81",'Unos rashoda i izdataka'!$P$3:$P$524,"=35")+SUMIFS('Unos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0</v>
      </c>
      <c r="D46" s="74">
        <f>SUMIFS('Unos rashoda i izdataka'!$K$3:$K$524,'Unos rashoda i izdataka'!$C$3:$C$524,"=11",'Unos rashoda i izdataka'!$P$3:$P$524,"=36")+SUMIFS('Unos rashoda P4'!$I$3:$I$501,'Unos rashoda P4'!$A$3:$A$501,"=11",'Unos rashoda P4'!$S$3:$S$501,"=36")</f>
        <v>0</v>
      </c>
      <c r="E46" s="74">
        <f>SUMIFS('Unos rashoda i izdataka'!$K$3:$K$524,'Unos rashoda i izdataka'!$C$3:$C$524,"=12",'Unos rashoda i izdataka'!$P$3:$P$524,"=36")+SUMIFS('Unos rashoda P4'!$I$3:$I$501,'Unos rashoda P4'!$A$3:$A$501,"=12",'Unos rashoda P4'!$S$3:$S$501,"=36")</f>
        <v>0</v>
      </c>
      <c r="F46" s="74">
        <f>SUMIFS('Unos rashoda i izdataka'!$K$3:$K$524,'Unos rashoda i izdataka'!$C$3:$C$524,"=31",'Unos rashoda i izdataka'!$P$3:$P$524,"=36")+SUMIFS('Unos rashoda P4'!$I$3:$I$501,'Unos rashoda P4'!$A$3:$A$501,"=31",'Unos rashoda P4'!$S$3:$S$501,"=36")</f>
        <v>0</v>
      </c>
      <c r="G46" s="74">
        <f>SUMIFS('Unos rashoda i izdataka'!$K$3:$K$524,'Unos rashoda i izdataka'!$C$3:$C$524,"=41",'Unos rashoda i izdataka'!$P$3:$P$524,"=36")+SUMIFS('Unos rashoda P4'!$I$3:$I$501,'Unos rashoda P4'!$A$3:$A$501,"=41",'Unos rashoda P4'!$S$3:$S$501,"=36")</f>
        <v>0</v>
      </c>
      <c r="H46" s="74">
        <f>SUMIFS('Unos rashoda i izdataka'!$K$3:$K$524,'Unos rashoda i izdataka'!$C$3:$C$524,"=43",'Unos rashoda i izdataka'!$P$3:$P$524,"=36")+SUMIFS('Unos rashoda P4'!$I$3:$I$501,'Unos rashoda P4'!$A$3:$A$501,"=43",'Unos rashoda P4'!$S$3:$S$501,"=36")</f>
        <v>0</v>
      </c>
      <c r="I46" s="74">
        <f>SUMIFS('Unos rashoda i izdataka'!$K$3:$K$524,'Unos rashoda i izdataka'!$C$3:$C$524,"=51",'Unos rashoda i izdataka'!$P$3:$P$524,"=36")+SUMIFS('Unos rashoda P4'!$I$3:$I$501,'Unos rashoda P4'!$A$3:$A$501,"=51",'Unos rashoda P4'!$S$3:$S$501,"=36")</f>
        <v>0</v>
      </c>
      <c r="J46" s="74">
        <f>SUMIFS('Unos rashoda i izdataka'!$K$3:$K$524,'Unos rashoda i izdataka'!$C$3:$C$524,"=52",'Unos rashoda i izdataka'!$P$3:$P$524,"=36")+SUMIFS('Unos rashoda P4'!$I$3:$I$501,'Unos rashoda P4'!$A$3:$A$501,"=52",'Unos rashoda P4'!$S$3:$S$501,"=36")</f>
        <v>0</v>
      </c>
      <c r="K46" s="74">
        <f>SUMIFS('Unos rashoda i izdataka'!$K$3:$K$524,'Unos rashoda i izdataka'!$C$3:$C$524,"=552",'Unos rashoda i izdataka'!$P$3:$P$524,"=36")+SUMIFS('Unos rashoda P4'!$I$3:$I$501,'Unos rashoda P4'!$A$3:$A$501,"=552",'Unos rashoda P4'!$S$3:$S$501,"=36")</f>
        <v>0</v>
      </c>
      <c r="L46" s="74">
        <f>SUMIFS('Unos rashoda i izdataka'!$K$3:$K$524,'Unos rashoda i izdataka'!$C$3:$C$524,"=559",'Unos rashoda i izdataka'!$P$3:$P$524,"=36")+SUMIFS('Unos rashoda P4'!$I$3:$I$501,'Unos rashoda P4'!$A$3:$A$501,"=559",'Unos rashoda P4'!$S$3:$S$501,"=36")</f>
        <v>0</v>
      </c>
      <c r="M46" s="74">
        <f>SUMIFS('Unos rashoda i izdataka'!$K$3:$K$524,'Unos rashoda i izdataka'!$C$3:$C$524,"=561",'Unos rashoda i izdataka'!$P$3:$P$524,"=36")+SUMIFS('Unos rashoda P4'!$I$3:$I$501,'Unos rashoda P4'!$A$3:$A$501,"=561",'Unos rashoda P4'!$S$3:$S$501,"=36")</f>
        <v>0</v>
      </c>
      <c r="N46" s="74">
        <f>SUMIFS('Unos rashoda i izdataka'!$K$3:$K$524,'Unos rashoda i izdataka'!$C$3:$C$524,"=563",'Unos rashoda i izdataka'!$P$3:$P$524,"=36")+SUMIFS('Unos rashoda P4'!$I$3:$I$501,'Unos rashoda P4'!$A$3:$A$501,"=563",'Unos rashoda P4'!$S$3:$S$501,"=36")</f>
        <v>0</v>
      </c>
      <c r="O46" s="74">
        <f>SUMIFS('Unos rashoda i izdataka'!$K$3:$K$524,'Unos rashoda i izdataka'!$C$3:$C$524,"=573",'Unos rashoda i izdataka'!$P$3:$P$524,"=36")+SUMIFS('Unos rashoda P4'!$I$3:$I$501,'Unos rashoda P4'!$A$3:$A$501,"=573",'Unos rashoda P4'!$S$3:$S$501,"=36")</f>
        <v>0</v>
      </c>
      <c r="P46" s="74">
        <f>SUMIFS('Unos rashoda i izdataka'!$K$3:$K$524,'Unos rashoda i izdataka'!$C$3:$C$524,"=575",'Unos rashoda i izdataka'!$P$3:$P$524,"=36")+SUMIFS('Unos rashoda P4'!$I$3:$I$501,'Unos rashoda P4'!$A$3:$A$501,"=575",'Unos rashoda P4'!$S$3:$S$501,"=36")</f>
        <v>0</v>
      </c>
      <c r="Q46" s="74">
        <f>SUMIFS('Unos rashoda i izdataka'!$K$3:$K$524,'Unos rashoda i izdataka'!$Q$3:$Q$524,"=576",'Unos rashoda i izdataka'!$P$3:$P$524,"=36")+SUMIFS('Unos rashoda P4'!$I$3:$I$501,'Unos rashoda P4'!$A$3:$A$501,"=576",'Unos rashoda P4'!$S$3:$S$501,"=36")</f>
        <v>0</v>
      </c>
      <c r="R46" s="74">
        <f>SUMIFS('Unos rashoda i izdataka'!$K$3:$K$524,'Unos rashoda i izdataka'!$C$3:$C$524,"=581",'Unos rashoda i izdataka'!$P$3:$P$524,"=36")+SUMIFS('Unos rashoda P4'!$I$3:$I$501,'Unos rashoda P4'!$A$3:$A$501,"=581",'Unos rashoda P4'!$S$3:$S$501,"=36")</f>
        <v>0</v>
      </c>
      <c r="S46" s="74">
        <f>SUMIFS('Unos rashoda i izdataka'!$K$3:$K$524,'Unos rashoda i izdataka'!$C$3:$C$524,"=61",'Unos rashoda i izdataka'!$P$3:$P$524,"=36")+SUMIFS('Unos rashoda P4'!$I$3:$I$501,'Unos rashoda P4'!$A$3:$A$501,"=61",'Unos rashoda P4'!$S$3:$S$501,"=36")</f>
        <v>0</v>
      </c>
      <c r="T46" s="74">
        <f>SUMIFS('Unos rashoda i izdataka'!$K$3:$K$524,'Unos rashoda i izdataka'!$C$3:$C$524,"=63",'Unos rashoda i izdataka'!$P$3:$P$524,"=36")+SUMIFS('Unos rashoda P4'!$I$3:$I$501,'Unos rashoda P4'!$A$3:$A$501,"=63",'Unos rashoda P4'!$S$3:$S$501,"=36")</f>
        <v>0</v>
      </c>
      <c r="U46" s="74">
        <f>SUMIFS('Unos rashoda i izdataka'!$K$3:$K$524,'Unos rashoda i izdataka'!$C$3:$C$524,"=71",'Unos rashoda i izdataka'!$P$3:$P$524,"=36")+SUMIFS('Unos rashoda P4'!$I$3:$I$501,'Unos rashoda P4'!$A$3:$A$501,"=71",'Unos rashoda P4'!$S$3:$S$501,"=36")</f>
        <v>0</v>
      </c>
      <c r="V46" s="74">
        <f>SUMIFS('Unos rashoda i izdataka'!$K$3:$K$524,'Unos rashoda i izdataka'!$C$3:$C$524,"=81",'Unos rashoda i izdataka'!$P$3:$P$524,"=36")+SUMIFS('Unos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4</v>
      </c>
      <c r="D47" s="74">
        <f>SUMIFS('Unos rashoda i izdataka'!$K$3:$K$524,'Unos rashoda i izdataka'!$C$3:$C$524,"=11",'Unos rashoda i izdataka'!$P$3:$P$524,"=37")+SUMIFS('Unos rashoda P4'!$I$3:$I$501,'Unos rashoda P4'!$A$3:$A$501,"=11",'Unos rashoda P4'!$S$3:$S$501,"=37")</f>
        <v>1331</v>
      </c>
      <c r="E47" s="74">
        <f>SUMIFS('Unos rashoda i izdataka'!$K$3:$K$524,'Unos rashoda i izdataka'!$C$3:$C$524,"=12",'Unos rashoda i izdataka'!$P$3:$P$524,"=37")+SUMIFS('Unos rashoda P4'!$I$3:$I$501,'Unos rashoda P4'!$A$3:$A$501,"=12",'Unos rashoda P4'!$S$3:$S$501,"=37")</f>
        <v>0</v>
      </c>
      <c r="F47" s="74">
        <f>SUMIFS('Unos rashoda i izdataka'!$K$3:$K$524,'Unos rashoda i izdataka'!$C$3:$C$524,"=31",'Unos rashoda i izdataka'!$P$3:$P$524,"=37")+SUMIFS('Unos rashoda P4'!$I$3:$I$501,'Unos rashoda P4'!$A$3:$A$501,"=31",'Unos rashoda P4'!$S$3:$S$501,"=37")</f>
        <v>0</v>
      </c>
      <c r="G47" s="74">
        <f>SUMIFS('Unos rashoda i izdataka'!$K$3:$K$524,'Unos rashoda i izdataka'!$C$3:$C$524,"=41",'Unos rashoda i izdataka'!$P$3:$P$524,"=37")+SUMIFS('Unos rashoda P4'!$I$3:$I$501,'Unos rashoda P4'!$A$3:$A$501,"=41",'Unos rashoda P4'!$S$3:$S$501,"=37")</f>
        <v>0</v>
      </c>
      <c r="H47" s="74">
        <f>SUMIFS('Unos rashoda i izdataka'!$K$3:$K$524,'Unos rashoda i izdataka'!$C$3:$C$524,"=43",'Unos rashoda i izdataka'!$P$3:$P$524,"=37")+SUMIFS('Unos rashoda P4'!$I$3:$I$501,'Unos rashoda P4'!$A$3:$A$501,"=43",'Unos rashoda P4'!$S$3:$S$501,"=37")</f>
        <v>0</v>
      </c>
      <c r="I47" s="74">
        <f>SUMIFS('Unos rashoda i izdataka'!$K$3:$K$524,'Unos rashoda i izdataka'!$C$3:$C$524,"=51",'Unos rashoda i izdataka'!$P$3:$P$524,"=37")+SUMIFS('Unos rashoda P4'!$I$3:$I$501,'Unos rashoda P4'!$A$3:$A$501,"=51",'Unos rashoda P4'!$S$3:$S$501,"=37")</f>
        <v>0</v>
      </c>
      <c r="J47" s="74">
        <f>SUMIFS('Unos rashoda i izdataka'!$K$3:$K$524,'Unos rashoda i izdataka'!$C$3:$C$524,"=52",'Unos rashoda i izdataka'!$P$3:$P$524,"=37")+SUMIFS('Unos rashoda P4'!$I$3:$I$501,'Unos rashoda P4'!$A$3:$A$501,"=52",'Unos rashoda P4'!$S$3:$S$501,"=37")</f>
        <v>-1327</v>
      </c>
      <c r="K47" s="74">
        <f>SUMIFS('Unos rashoda i izdataka'!$K$3:$K$524,'Unos rashoda i izdataka'!$C$3:$C$524,"=552",'Unos rashoda i izdataka'!$P$3:$P$524,"=37")+SUMIFS('Unos rashoda P4'!$I$3:$I$501,'Unos rashoda P4'!$A$3:$A$501,"=552",'Unos rashoda P4'!$S$3:$S$501,"=37")</f>
        <v>0</v>
      </c>
      <c r="L47" s="74">
        <f>SUMIFS('Unos rashoda i izdataka'!$K$3:$K$524,'Unos rashoda i izdataka'!$C$3:$C$524,"=559",'Unos rashoda i izdataka'!$P$3:$P$524,"=37")+SUMIFS('Unos rashoda P4'!$I$3:$I$501,'Unos rashoda P4'!$A$3:$A$501,"=559",'Unos rashoda P4'!$S$3:$S$501,"=37")</f>
        <v>0</v>
      </c>
      <c r="M47" s="74">
        <f>SUMIFS('Unos rashoda i izdataka'!$K$3:$K$524,'Unos rashoda i izdataka'!$C$3:$C$524,"=561",'Unos rashoda i izdataka'!$P$3:$P$524,"=37")+SUMIFS('Unos rashoda P4'!$I$3:$I$501,'Unos rashoda P4'!$A$3:$A$501,"=561",'Unos rashoda P4'!$S$3:$S$501,"=37")</f>
        <v>0</v>
      </c>
      <c r="N47" s="74">
        <f>SUMIFS('Unos rashoda i izdataka'!$K$3:$K$524,'Unos rashoda i izdataka'!$C$3:$C$524,"=563",'Unos rashoda i izdataka'!$P$3:$P$524,"=37")+SUMIFS('Unos rashoda P4'!$I$3:$I$501,'Unos rashoda P4'!$A$3:$A$501,"=563",'Unos rashoda P4'!$S$3:$S$501,"=37")</f>
        <v>0</v>
      </c>
      <c r="O47" s="74">
        <f>SUMIFS('Unos rashoda i izdataka'!$K$3:$K$524,'Unos rashoda i izdataka'!$C$3:$C$524,"=573",'Unos rashoda i izdataka'!$P$3:$P$524,"=37")+SUMIFS('Unos rashoda P4'!$I$3:$I$501,'Unos rashoda P4'!$A$3:$A$501,"=573",'Unos rashoda P4'!$S$3:$S$501,"=37")</f>
        <v>0</v>
      </c>
      <c r="P47" s="74">
        <f>SUMIFS('Unos rashoda i izdataka'!$K$3:$K$524,'Unos rashoda i izdataka'!$C$3:$C$524,"=575",'Unos rashoda i izdataka'!$P$3:$P$524,"=37")+SUMIFS('Unos rashoda P4'!$I$3:$I$501,'Unos rashoda P4'!$A$3:$A$501,"=575",'Unos rashoda P4'!$S$3:$S$501,"=37")</f>
        <v>0</v>
      </c>
      <c r="Q47" s="74">
        <f>SUMIFS('Unos rashoda i izdataka'!$K$3:$K$524,'Unos rashoda i izdataka'!$Q$3:$Q$524,"=576",'Unos rashoda i izdataka'!$P$3:$P$524,"=37")+SUMIFS('Unos rashoda P4'!$I$3:$I$501,'Unos rashoda P4'!$A$3:$A$501,"=576",'Unos rashoda P4'!$S$3:$S$501,"=37")</f>
        <v>0</v>
      </c>
      <c r="R47" s="74">
        <f>SUMIFS('Unos rashoda i izdataka'!$K$3:$K$524,'Unos rashoda i izdataka'!$C$3:$C$524,"=581",'Unos rashoda i izdataka'!$P$3:$P$524,"=37")+SUMIFS('Unos rashoda P4'!$I$3:$I$501,'Unos rashoda P4'!$A$3:$A$501,"=581",'Unos rashoda P4'!$S$3:$S$501,"=37")</f>
        <v>0</v>
      </c>
      <c r="S47" s="74">
        <f>SUMIFS('Unos rashoda i izdataka'!$K$3:$K$524,'Unos rashoda i izdataka'!$C$3:$C$524,"=61",'Unos rashoda i izdataka'!$P$3:$P$524,"=37")+SUMIFS('Unos rashoda P4'!$I$3:$I$501,'Unos rashoda P4'!$A$3:$A$501,"=61",'Unos rashoda P4'!$S$3:$S$501,"=37")</f>
        <v>0</v>
      </c>
      <c r="T47" s="74">
        <f>SUMIFS('Unos rashoda i izdataka'!$K$3:$K$524,'Unos rashoda i izdataka'!$C$3:$C$524,"=63",'Unos rashoda i izdataka'!$P$3:$P$524,"=37")+SUMIFS('Unos rashoda P4'!$I$3:$I$501,'Unos rashoda P4'!$A$3:$A$501,"=63",'Unos rashoda P4'!$S$3:$S$501,"=37")</f>
        <v>0</v>
      </c>
      <c r="U47" s="74">
        <f>SUMIFS('Unos rashoda i izdataka'!$K$3:$K$524,'Unos rashoda i izdataka'!$C$3:$C$524,"=71",'Unos rashoda i izdataka'!$P$3:$P$524,"=37")+SUMIFS('Unos rashoda P4'!$I$3:$I$501,'Unos rashoda P4'!$A$3:$A$501,"=71",'Unos rashoda P4'!$S$3:$S$501,"=37")</f>
        <v>0</v>
      </c>
      <c r="V47" s="74">
        <f>SUMIFS('Unos rashoda i izdataka'!$K$3:$K$524,'Unos rashoda i izdataka'!$C$3:$C$524,"=81",'Unos rashoda i izdataka'!$P$3:$P$524,"=37")+SUMIFS('Unos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0</v>
      </c>
      <c r="D48" s="74">
        <f>SUMIFS('Unos rashoda i izdataka'!$K$3:$K$524,'Unos rashoda i izdataka'!$C$3:$C$524,"=11",'Unos rashoda i izdataka'!$P$3:$P$524,"=38")+SUMIFS('Unos rashoda P4'!$I$3:$I$501,'Unos rashoda P4'!$A$3:$A$501,"=11",'Unos rashoda P4'!$S$3:$S$501,"=38")</f>
        <v>0</v>
      </c>
      <c r="E48" s="74">
        <f>SUMIFS('Unos rashoda i izdataka'!$K$3:$K$524,'Unos rashoda i izdataka'!$C$3:$C$524,"=12",'Unos rashoda i izdataka'!$P$3:$P$524,"=38")+SUMIFS('Unos rashoda P4'!$I$3:$I$501,'Unos rashoda P4'!$A$3:$A$501,"=12",'Unos rashoda P4'!$S$3:$S$501,"=38")</f>
        <v>0</v>
      </c>
      <c r="F48" s="74">
        <f>SUMIFS('Unos rashoda i izdataka'!$K$3:$K$524,'Unos rashoda i izdataka'!$C$3:$C$524,"=31",'Unos rashoda i izdataka'!$P$3:$P$524,"=38")+SUMIFS('Unos rashoda P4'!$I$3:$I$501,'Unos rashoda P4'!$A$3:$A$501,"=31",'Unos rashoda P4'!$S$3:$S$501,"=38")</f>
        <v>0</v>
      </c>
      <c r="G48" s="74">
        <f>SUMIFS('Unos rashoda i izdataka'!$K$3:$K$524,'Unos rashoda i izdataka'!$C$3:$C$524,"=41",'Unos rashoda i izdataka'!$P$3:$P$524,"=38")+SUMIFS('Unos rashoda P4'!$I$3:$I$501,'Unos rashoda P4'!$A$3:$A$501,"=41",'Unos rashoda P4'!$S$3:$S$501,"=38")</f>
        <v>0</v>
      </c>
      <c r="H48" s="74">
        <f>SUMIFS('Unos rashoda i izdataka'!$K$3:$K$524,'Unos rashoda i izdataka'!$C$3:$C$524,"=43",'Unos rashoda i izdataka'!$P$3:$P$524,"=38")+SUMIFS('Unos rashoda P4'!$I$3:$I$501,'Unos rashoda P4'!$A$3:$A$501,"=43",'Unos rashoda P4'!$S$3:$S$501,"=38")</f>
        <v>0</v>
      </c>
      <c r="I48" s="74">
        <f>SUMIFS('Unos rashoda i izdataka'!$K$3:$K$524,'Unos rashoda i izdataka'!$C$3:$C$524,"=51",'Unos rashoda i izdataka'!$P$3:$P$524,"=38")+SUMIFS('Unos rashoda P4'!$I$3:$I$501,'Unos rashoda P4'!$A$3:$A$501,"=51",'Unos rashoda P4'!$S$3:$S$501,"=38")</f>
        <v>0</v>
      </c>
      <c r="J48" s="74">
        <f>SUMIFS('Unos rashoda i izdataka'!$K$3:$K$524,'Unos rashoda i izdataka'!$C$3:$C$524,"=52",'Unos rashoda i izdataka'!$P$3:$P$524,"=38")+SUMIFS('Unos rashoda P4'!$I$3:$I$501,'Unos rashoda P4'!$A$3:$A$501,"=52",'Unos rashoda P4'!$S$3:$S$501,"=38")</f>
        <v>0</v>
      </c>
      <c r="K48" s="74">
        <f>SUMIFS('Unos rashoda i izdataka'!$K$3:$K$524,'Unos rashoda i izdataka'!$C$3:$C$524,"=552",'Unos rashoda i izdataka'!$P$3:$P$524,"=38")+SUMIFS('Unos rashoda P4'!$I$3:$I$501,'Unos rashoda P4'!$A$3:$A$501,"=552",'Unos rashoda P4'!$S$3:$S$501,"=38")</f>
        <v>0</v>
      </c>
      <c r="L48" s="74">
        <f>SUMIFS('Unos rashoda i izdataka'!$K$3:$K$524,'Unos rashoda i izdataka'!$C$3:$C$524,"=559",'Unos rashoda i izdataka'!$P$3:$P$524,"=38")+SUMIFS('Unos rashoda P4'!$I$3:$I$501,'Unos rashoda P4'!$A$3:$A$501,"=559",'Unos rashoda P4'!$S$3:$S$501,"=38")</f>
        <v>0</v>
      </c>
      <c r="M48" s="74">
        <f>SUMIFS('Unos rashoda i izdataka'!$K$3:$K$524,'Unos rashoda i izdataka'!$C$3:$C$524,"=561",'Unos rashoda i izdataka'!$P$3:$P$524,"=38")+SUMIFS('Unos rashoda P4'!$I$3:$I$501,'Unos rashoda P4'!$A$3:$A$501,"=561",'Unos rashoda P4'!$S$3:$S$501,"=38")</f>
        <v>0</v>
      </c>
      <c r="N48" s="74">
        <f>SUMIFS('Unos rashoda i izdataka'!$K$3:$K$524,'Unos rashoda i izdataka'!$C$3:$C$524,"=563",'Unos rashoda i izdataka'!$P$3:$P$524,"=38")+SUMIFS('Unos rashoda P4'!$I$3:$I$501,'Unos rashoda P4'!$A$3:$A$501,"=563",'Unos rashoda P4'!$S$3:$S$501,"=38")</f>
        <v>0</v>
      </c>
      <c r="O48" s="74">
        <f>SUMIFS('Unos rashoda i izdataka'!$K$3:$K$524,'Unos rashoda i izdataka'!$C$3:$C$524,"=573",'Unos rashoda i izdataka'!$P$3:$P$524,"=38")+SUMIFS('Unos rashoda P4'!$I$3:$I$501,'Unos rashoda P4'!$A$3:$A$501,"=573",'Unos rashoda P4'!$S$3:$S$501,"=38")</f>
        <v>0</v>
      </c>
      <c r="P48" s="74">
        <f>SUMIFS('Unos rashoda i izdataka'!$K$3:$K$524,'Unos rashoda i izdataka'!$C$3:$C$524,"=575",'Unos rashoda i izdataka'!$P$3:$P$524,"=38")+SUMIFS('Unos rashoda P4'!$I$3:$I$501,'Unos rashoda P4'!$A$3:$A$501,"=575",'Unos rashoda P4'!$S$3:$S$501,"=38")</f>
        <v>0</v>
      </c>
      <c r="Q48" s="74">
        <f>SUMIFS('Unos rashoda i izdataka'!$K$3:$K$524,'Unos rashoda i izdataka'!$Q$3:$Q$524,"=576",'Unos rashoda i izdataka'!$P$3:$P$524,"=38")+SUMIFS('Unos rashoda P4'!$I$3:$I$501,'Unos rashoda P4'!$A$3:$A$501,"=576",'Unos rashoda P4'!$S$3:$S$501,"=38")</f>
        <v>0</v>
      </c>
      <c r="R48" s="74">
        <f>SUMIFS('Unos rashoda i izdataka'!$K$3:$K$524,'Unos rashoda i izdataka'!$C$3:$C$524,"=581",'Unos rashoda i izdataka'!$P$3:$P$524,"=38")+SUMIFS('Unos rashoda P4'!$I$3:$I$501,'Unos rashoda P4'!$A$3:$A$501,"=581",'Unos rashoda P4'!$S$3:$S$501,"=38")</f>
        <v>0</v>
      </c>
      <c r="S48" s="74">
        <f>SUMIFS('Unos rashoda i izdataka'!$K$3:$K$524,'Unos rashoda i izdataka'!$C$3:$C$524,"=61",'Unos rashoda i izdataka'!$P$3:$P$524,"=38")+SUMIFS('Unos rashoda P4'!$I$3:$I$501,'Unos rashoda P4'!$A$3:$A$501,"=61",'Unos rashoda P4'!$S$3:$S$501,"=38")</f>
        <v>0</v>
      </c>
      <c r="T48" s="74">
        <f>SUMIFS('Unos rashoda i izdataka'!$K$3:$K$524,'Unos rashoda i izdataka'!$C$3:$C$524,"=63",'Unos rashoda i izdataka'!$P$3:$P$524,"=38")+SUMIFS('Unos rashoda P4'!$I$3:$I$501,'Unos rashoda P4'!$A$3:$A$501,"=63",'Unos rashoda P4'!$S$3:$S$501,"=38")</f>
        <v>0</v>
      </c>
      <c r="U48" s="74">
        <f>SUMIFS('Unos rashoda i izdataka'!$K$3:$K$524,'Unos rashoda i izdataka'!$C$3:$C$524,"=71",'Unos rashoda i izdataka'!$P$3:$P$524,"=38")+SUMIFS('Unos rashoda P4'!$I$3:$I$501,'Unos rashoda P4'!$A$3:$A$501,"=71",'Unos rashoda P4'!$S$3:$S$501,"=38")</f>
        <v>0</v>
      </c>
      <c r="V48" s="74">
        <f>SUMIFS('Unos rashoda i izdataka'!$K$3:$K$524,'Unos rashoda i izdataka'!$C$3:$C$524,"=81",'Unos rashoda i izdataka'!$P$3:$P$524,"=38")+SUMIFS('Unos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9853</v>
      </c>
      <c r="D49" s="69">
        <f>+D50+D51+D52+D53+D54</f>
        <v>-14085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23938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izdataka'!$K$3:$K$524,'Unos rashoda i izdataka'!$C$3:$C$524,"=11",'Unos rashoda i izdataka'!$P$3:$P$524,"=41")+SUMIFS('Unos rashoda P4'!$I$3:$I$501,'Unos rashoda P4'!$A$3:$A$501,"=11",'Unos rashoda P4'!$S$3:$S$501,"=41")</f>
        <v>0</v>
      </c>
      <c r="E50" s="74">
        <f>SUMIFS('Unos rashoda i izdataka'!$K$3:$K$524,'Unos rashoda i izdataka'!$C$3:$C$524,"=12",'Unos rashoda i izdataka'!$P$3:$P$524,"=41")+SUMIFS('Unos rashoda P4'!$I$3:$I$501,'Unos rashoda P4'!$A$3:$A$501,"=12",'Unos rashoda P4'!$S$3:$S$501,"=41")</f>
        <v>0</v>
      </c>
      <c r="F50" s="74">
        <f>SUMIFS('Unos rashoda i izdataka'!$K$3:$K$524,'Unos rashoda i izdataka'!$C$3:$C$524,"=31",'Unos rashoda i izdataka'!$P$3:$P$524,"=41")+SUMIFS('Unos rashoda P4'!$I$3:$I$501,'Unos rashoda P4'!$A$3:$A$501,"=31",'Unos rashoda P4'!$S$3:$S$501,"=41")</f>
        <v>0</v>
      </c>
      <c r="G50" s="74">
        <f>SUMIFS('Unos rashoda i izdataka'!$K$3:$K$524,'Unos rashoda i izdataka'!$C$3:$C$524,"=41",'Unos rashoda i izdataka'!$P$3:$P$524,"=41")+SUMIFS('Unos rashoda P4'!$I$3:$I$501,'Unos rashoda P4'!$A$3:$A$501,"=41",'Unos rashoda P4'!$S$3:$S$501,"=41")</f>
        <v>0</v>
      </c>
      <c r="H50" s="74">
        <f>SUMIFS('Unos rashoda i izdataka'!$K$3:$K$524,'Unos rashoda i izdataka'!$C$3:$C$524,"=43",'Unos rashoda i izdataka'!$P$3:$P$524,"=41")+SUMIFS('Unos rashoda P4'!$I$3:$I$501,'Unos rashoda P4'!$A$3:$A$501,"=43",'Unos rashoda P4'!$S$3:$S$501,"=41")</f>
        <v>0</v>
      </c>
      <c r="I50" s="74">
        <f>SUMIFS('Unos rashoda i izdataka'!$K$3:$K$524,'Unos rashoda i izdataka'!$C$3:$C$524,"=51",'Unos rashoda i izdataka'!$P$3:$P$524,"=41")+SUMIFS('Unos rashoda P4'!$I$3:$I$501,'Unos rashoda P4'!$A$3:$A$501,"=51",'Unos rashoda P4'!$S$3:$S$501,"=41")</f>
        <v>0</v>
      </c>
      <c r="J50" s="74">
        <f>SUMIFS('Unos rashoda i izdataka'!$K$3:$K$524,'Unos rashoda i izdataka'!$C$3:$C$524,"=52",'Unos rashoda i izdataka'!$P$3:$P$524,"=41")+SUMIFS('Unos rashoda P4'!$I$3:$I$501,'Unos rashoda P4'!$A$3:$A$501,"=52",'Unos rashoda P4'!$S$3:$S$501,"=41")</f>
        <v>0</v>
      </c>
      <c r="K50" s="74">
        <f>SUMIFS('Unos rashoda i izdataka'!$K$3:$K$524,'Unos rashoda i izdataka'!$C$3:$C$524,"=552",'Unos rashoda i izdataka'!$P$3:$P$524,"=41")+SUMIFS('Unos rashoda P4'!$I$3:$I$501,'Unos rashoda P4'!$A$3:$A$501,"=552",'Unos rashoda P4'!$S$3:$S$501,"=41")</f>
        <v>0</v>
      </c>
      <c r="L50" s="74">
        <f>SUMIFS('Unos rashoda i izdataka'!$K$3:$K$524,'Unos rashoda i izdataka'!$C$3:$C$524,"=559",'Unos rashoda i izdataka'!$P$3:$P$524,"=41")+SUMIFS('Unos rashoda P4'!$I$3:$I$501,'Unos rashoda P4'!$A$3:$A$501,"=559",'Unos rashoda P4'!$S$3:$S$501,"=41")</f>
        <v>0</v>
      </c>
      <c r="M50" s="74">
        <f>SUMIFS('Unos rashoda i izdataka'!$K$3:$K$524,'Unos rashoda i izdataka'!$C$3:$C$524,"=561",'Unos rashoda i izdataka'!$P$3:$P$524,"=41")+SUMIFS('Unos rashoda P4'!$I$3:$I$501,'Unos rashoda P4'!$A$3:$A$501,"=561",'Unos rashoda P4'!$S$3:$S$501,"=41")</f>
        <v>0</v>
      </c>
      <c r="N50" s="74">
        <f>SUMIFS('Unos rashoda i izdataka'!$K$3:$K$524,'Unos rashoda i izdataka'!$C$3:$C$524,"=563",'Unos rashoda i izdataka'!$P$3:$P$524,"=41")+SUMIFS('Unos rashoda P4'!$I$3:$I$501,'Unos rashoda P4'!$A$3:$A$501,"=563",'Unos rashoda P4'!$S$3:$S$501,"=41")</f>
        <v>0</v>
      </c>
      <c r="O50" s="74">
        <f>SUMIFS('Unos rashoda i izdataka'!$K$3:$K$524,'Unos rashoda i izdataka'!$C$3:$C$524,"=573",'Unos rashoda i izdataka'!$P$3:$P$524,"=41")+SUMIFS('Unos rashoda P4'!$I$3:$I$501,'Unos rashoda P4'!$A$3:$A$501,"=573",'Unos rashoda P4'!$S$3:$S$501,"=41")</f>
        <v>0</v>
      </c>
      <c r="P50" s="74">
        <f>SUMIFS('Unos rashoda i izdataka'!$K$3:$K$524,'Unos rashoda i izdataka'!$C$3:$C$524,"=575",'Unos rashoda i izdataka'!$P$3:$P$524,"=41")+SUMIFS('Unos rashoda P4'!$I$3:$I$501,'Unos rashoda P4'!$A$3:$A$501,"=575",'Unos rashoda P4'!$S$3:$S$501,"=41")</f>
        <v>0</v>
      </c>
      <c r="Q50" s="74">
        <f>SUMIFS('Unos rashoda i izdataka'!$K$3:$K$524,'Unos rashoda i izdataka'!$Q$3:$Q$524,"=576",'Unos rashoda i izdataka'!$P$3:$P$524,"=41")+SUMIFS('Unos rashoda P4'!$I$3:$I$501,'Unos rashoda P4'!$A$3:$A$501,"=576",'Unos rashoda P4'!$S$3:$S$501,"=41")</f>
        <v>0</v>
      </c>
      <c r="R50" s="74">
        <f>SUMIFS('Unos rashoda i izdataka'!$K$3:$K$524,'Unos rashoda i izdataka'!$C$3:$C$524,"=581",'Unos rashoda i izdataka'!$P$3:$P$524,"=41")+SUMIFS('Unos rashoda P4'!$I$3:$I$501,'Unos rashoda P4'!$A$3:$A$501,"=581",'Unos rashoda P4'!$S$3:$S$501,"=41")</f>
        <v>0</v>
      </c>
      <c r="S50" s="74">
        <f>SUMIFS('Unos rashoda i izdataka'!$K$3:$K$524,'Unos rashoda i izdataka'!$C$3:$C$524,"=61",'Unos rashoda i izdataka'!$P$3:$P$524,"=41")+SUMIFS('Unos rashoda P4'!$I$3:$I$501,'Unos rashoda P4'!$A$3:$A$501,"=61",'Unos rashoda P4'!$S$3:$S$501,"=41")</f>
        <v>0</v>
      </c>
      <c r="T50" s="74">
        <f>SUMIFS('Unos rashoda i izdataka'!$K$3:$K$524,'Unos rashoda i izdataka'!$C$3:$C$524,"=63",'Unos rashoda i izdataka'!$P$3:$P$524,"=41")+SUMIFS('Unos rashoda P4'!$I$3:$I$501,'Unos rashoda P4'!$A$3:$A$501,"=63",'Unos rashoda P4'!$S$3:$S$501,"=41")</f>
        <v>0</v>
      </c>
      <c r="U50" s="74">
        <f>SUMIFS('Unos rashoda i izdataka'!$K$3:$K$524,'Unos rashoda i izdataka'!$C$3:$C$524,"=71",'Unos rashoda i izdataka'!$P$3:$P$524,"=41")+SUMIFS('Unos rashoda P4'!$I$3:$I$501,'Unos rashoda P4'!$A$3:$A$501,"=71",'Unos rashoda P4'!$S$3:$S$501,"=41")</f>
        <v>0</v>
      </c>
      <c r="V50" s="74">
        <f>SUMIFS('Unos rashoda i izdataka'!$K$3:$K$524,'Unos rashoda i izdataka'!$C$3:$C$524,"=81",'Unos rashoda i izdataka'!$P$3:$P$524,"=41")+SUMIFS('Unos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9853</v>
      </c>
      <c r="D51" s="74">
        <f>SUMIFS('Unos rashoda i izdataka'!$K$3:$K$524,'Unos rashoda i izdataka'!$C$3:$C$524,"=11",'Unos rashoda i izdataka'!$P$3:$P$524,"=42")+SUMIFS('Unos rashoda P4'!$I$3:$I$501,'Unos rashoda P4'!$A$3:$A$501,"=11",'Unos rashoda P4'!$S$3:$S$501,"=42")</f>
        <v>-14085</v>
      </c>
      <c r="E51" s="74">
        <f>SUMIFS('Unos rashoda i izdataka'!$K$3:$K$524,'Unos rashoda i izdataka'!$C$3:$C$524,"=12",'Unos rashoda i izdataka'!$P$3:$P$524,"=42")+SUMIFS('Unos rashoda P4'!$I$3:$I$501,'Unos rashoda P4'!$A$3:$A$501,"=12",'Unos rashoda P4'!$S$3:$S$501,"=42")</f>
        <v>0</v>
      </c>
      <c r="F51" s="74">
        <f>SUMIFS('Unos rashoda i izdataka'!$K$3:$K$524,'Unos rashoda i izdataka'!$C$3:$C$524,"=31",'Unos rashoda i izdataka'!$P$3:$P$524,"=42")+SUMIFS('Unos rashoda P4'!$I$3:$I$501,'Unos rashoda P4'!$A$3:$A$501,"=31",'Unos rashoda P4'!$S$3:$S$501,"=42")</f>
        <v>0</v>
      </c>
      <c r="G51" s="74">
        <f>SUMIFS('Unos rashoda i izdataka'!$K$3:$K$524,'Unos rashoda i izdataka'!$C$3:$C$524,"=41",'Unos rashoda i izdataka'!$P$3:$P$524,"=42")+SUMIFS('Unos rashoda P4'!$I$3:$I$501,'Unos rashoda P4'!$A$3:$A$501,"=41",'Unos rashoda P4'!$S$3:$S$501,"=42")</f>
        <v>0</v>
      </c>
      <c r="H51" s="74">
        <f>SUMIFS('Unos rashoda i izdataka'!$K$3:$K$524,'Unos rashoda i izdataka'!$C$3:$C$524,"=43",'Unos rashoda i izdataka'!$P$3:$P$524,"=42")+SUMIFS('Unos rashoda P4'!$I$3:$I$501,'Unos rashoda P4'!$A$3:$A$501,"=43",'Unos rashoda P4'!$S$3:$S$501,"=42")</f>
        <v>23938</v>
      </c>
      <c r="I51" s="74">
        <f>SUMIFS('Unos rashoda i izdataka'!$K$3:$K$524,'Unos rashoda i izdataka'!$C$3:$C$524,"=51",'Unos rashoda i izdataka'!$P$3:$P$524,"=42")+SUMIFS('Unos rashoda P4'!$I$3:$I$501,'Unos rashoda P4'!$A$3:$A$501,"=51",'Unos rashoda P4'!$S$3:$S$501,"=42")</f>
        <v>0</v>
      </c>
      <c r="J51" s="74">
        <f>SUMIFS('Unos rashoda i izdataka'!$K$3:$K$524,'Unos rashoda i izdataka'!$C$3:$C$524,"=52",'Unos rashoda i izdataka'!$P$3:$P$524,"=42")+SUMIFS('Unos rashoda P4'!$I$3:$I$501,'Unos rashoda P4'!$A$3:$A$501,"=52",'Unos rashoda P4'!$S$3:$S$501,"=42")</f>
        <v>0</v>
      </c>
      <c r="K51" s="74">
        <f>SUMIFS('Unos rashoda i izdataka'!$K$3:$K$524,'Unos rashoda i izdataka'!$C$3:$C$524,"=552",'Unos rashoda i izdataka'!$P$3:$P$524,"=42")+SUMIFS('Unos rashoda P4'!$I$3:$I$501,'Unos rashoda P4'!$A$3:$A$501,"=552",'Unos rashoda P4'!$S$3:$S$501,"=42")</f>
        <v>0</v>
      </c>
      <c r="L51" s="74">
        <f>SUMIFS('Unos rashoda i izdataka'!$K$3:$K$524,'Unos rashoda i izdataka'!$C$3:$C$524,"=559",'Unos rashoda i izdataka'!$P$3:$P$524,"=42")+SUMIFS('Unos rashoda P4'!$I$3:$I$501,'Unos rashoda P4'!$A$3:$A$501,"=559",'Unos rashoda P4'!$S$3:$S$501,"=42")</f>
        <v>0</v>
      </c>
      <c r="M51" s="74">
        <f>SUMIFS('Unos rashoda i izdataka'!$K$3:$K$524,'Unos rashoda i izdataka'!$C$3:$C$524,"=561",'Unos rashoda i izdataka'!$P$3:$P$524,"=42")+SUMIFS('Unos rashoda P4'!$I$3:$I$501,'Unos rashoda P4'!$A$3:$A$501,"=561",'Unos rashoda P4'!$S$3:$S$501,"=42")</f>
        <v>0</v>
      </c>
      <c r="N51" s="74">
        <f>SUMIFS('Unos rashoda i izdataka'!$K$3:$K$524,'Unos rashoda i izdataka'!$C$3:$C$524,"=563",'Unos rashoda i izdataka'!$P$3:$P$524,"=42")+SUMIFS('Unos rashoda P4'!$I$3:$I$501,'Unos rashoda P4'!$A$3:$A$501,"=563",'Unos rashoda P4'!$S$3:$S$501,"=42")</f>
        <v>0</v>
      </c>
      <c r="O51" s="74">
        <f>SUMIFS('Unos rashoda i izdataka'!$K$3:$K$524,'Unos rashoda i izdataka'!$C$3:$C$524,"=573",'Unos rashoda i izdataka'!$P$3:$P$524,"=42")+SUMIFS('Unos rashoda P4'!$I$3:$I$501,'Unos rashoda P4'!$A$3:$A$501,"=573",'Unos rashoda P4'!$S$3:$S$501,"=42")</f>
        <v>0</v>
      </c>
      <c r="P51" s="74">
        <f>SUMIFS('Unos rashoda i izdataka'!$K$3:$K$524,'Unos rashoda i izdataka'!$C$3:$C$524,"=575",'Unos rashoda i izdataka'!$P$3:$P$524,"=42")+SUMIFS('Unos rashoda P4'!$I$3:$I$501,'Unos rashoda P4'!$A$3:$A$501,"=575",'Unos rashoda P4'!$S$3:$S$501,"=42")</f>
        <v>0</v>
      </c>
      <c r="Q51" s="74">
        <f>SUMIFS('Unos rashoda i izdataka'!$K$3:$K$524,'Unos rashoda i izdataka'!$Q$3:$Q$524,"=576",'Unos rashoda i izdataka'!$P$3:$P$524,"=42")+SUMIFS('Unos rashoda P4'!$I$3:$I$501,'Unos rashoda P4'!$A$3:$A$501,"=576",'Unos rashoda P4'!$S$3:$S$501,"=42")</f>
        <v>0</v>
      </c>
      <c r="R51" s="74">
        <f>SUMIFS('Unos rashoda i izdataka'!$K$3:$K$524,'Unos rashoda i izdataka'!$C$3:$C$524,"=581",'Unos rashoda i izdataka'!$P$3:$P$524,"=42")+SUMIFS('Unos rashoda P4'!$I$3:$I$501,'Unos rashoda P4'!$A$3:$A$501,"=581",'Unos rashoda P4'!$S$3:$S$501,"=42")</f>
        <v>0</v>
      </c>
      <c r="S51" s="74">
        <f>SUMIFS('Unos rashoda i izdataka'!$K$3:$K$524,'Unos rashoda i izdataka'!$C$3:$C$524,"=61",'Unos rashoda i izdataka'!$P$3:$P$524,"=42")+SUMIFS('Unos rashoda P4'!$I$3:$I$501,'Unos rashoda P4'!$A$3:$A$501,"=61",'Unos rashoda P4'!$S$3:$S$501,"=42")</f>
        <v>0</v>
      </c>
      <c r="T51" s="74">
        <f>SUMIFS('Unos rashoda i izdataka'!$K$3:$K$524,'Unos rashoda i izdataka'!$C$3:$C$524,"=63",'Unos rashoda i izdataka'!$P$3:$P$524,"=42")+SUMIFS('Unos rashoda P4'!$I$3:$I$501,'Unos rashoda P4'!$A$3:$A$501,"=63",'Unos rashoda P4'!$S$3:$S$501,"=42")</f>
        <v>0</v>
      </c>
      <c r="U51" s="74">
        <f>SUMIFS('Unos rashoda i izdataka'!$K$3:$K$524,'Unos rashoda i izdataka'!$C$3:$C$524,"=71",'Unos rashoda i izdataka'!$P$3:$P$524,"=42")+SUMIFS('Unos rashoda P4'!$I$3:$I$501,'Unos rashoda P4'!$A$3:$A$501,"=71",'Unos rashoda P4'!$S$3:$S$501,"=42")</f>
        <v>0</v>
      </c>
      <c r="V51" s="74">
        <f>SUMIFS('Unos rashoda i izdataka'!$K$3:$K$524,'Unos rashoda i izdataka'!$C$3:$C$524,"=81",'Unos rashoda i izdataka'!$P$3:$P$524,"=42")+SUMIFS('Unos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izdataka'!$K$3:$K$524,'Unos rashoda i izdataka'!$C$3:$C$524,"=11",'Unos rashoda i izdataka'!$P$3:$P$524,"=43")+SUMIFS('Unos rashoda P4'!$I$3:$I$501,'Unos rashoda P4'!$A$3:$A$501,"=11",'Unos rashoda P4'!$S$3:$S$501,"=43")</f>
        <v>0</v>
      </c>
      <c r="E52" s="74">
        <f>SUMIFS('Unos rashoda i izdataka'!$K$3:$K$524,'Unos rashoda i izdataka'!$C$3:$C$524,"=12",'Unos rashoda i izdataka'!$P$3:$P$524,"=43")+SUMIFS('Unos rashoda P4'!$I$3:$I$501,'Unos rashoda P4'!$A$3:$A$501,"=12",'Unos rashoda P4'!$S$3:$S$501,"=43")</f>
        <v>0</v>
      </c>
      <c r="F52" s="74">
        <f>SUMIFS('Unos rashoda i izdataka'!$K$3:$K$524,'Unos rashoda i izdataka'!$C$3:$C$524,"=31",'Unos rashoda i izdataka'!$P$3:$P$524,"=43")+SUMIFS('Unos rashoda P4'!$I$3:$I$501,'Unos rashoda P4'!$A$3:$A$501,"=31",'Unos rashoda P4'!$S$3:$S$501,"=43")</f>
        <v>0</v>
      </c>
      <c r="G52" s="74">
        <f>SUMIFS('Unos rashoda i izdataka'!$K$3:$K$524,'Unos rashoda i izdataka'!$C$3:$C$524,"=41",'Unos rashoda i izdataka'!$P$3:$P$524,"=43")+SUMIFS('Unos rashoda P4'!$I$3:$I$501,'Unos rashoda P4'!$A$3:$A$501,"=41",'Unos rashoda P4'!$S$3:$S$501,"=43")</f>
        <v>0</v>
      </c>
      <c r="H52" s="74">
        <f>SUMIFS('Unos rashoda i izdataka'!$K$3:$K$524,'Unos rashoda i izdataka'!$C$3:$C$524,"=43",'Unos rashoda i izdataka'!$P$3:$P$524,"=43")+SUMIFS('Unos rashoda P4'!$I$3:$I$501,'Unos rashoda P4'!$A$3:$A$501,"=43",'Unos rashoda P4'!$S$3:$S$501,"=43")</f>
        <v>0</v>
      </c>
      <c r="I52" s="74">
        <f>SUMIFS('Unos rashoda i izdataka'!$K$3:$K$524,'Unos rashoda i izdataka'!$C$3:$C$524,"=51",'Unos rashoda i izdataka'!$P$3:$P$524,"=43")+SUMIFS('Unos rashoda P4'!$I$3:$I$501,'Unos rashoda P4'!$A$3:$A$501,"=51",'Unos rashoda P4'!$S$3:$S$501,"=43")</f>
        <v>0</v>
      </c>
      <c r="J52" s="74">
        <f>SUMIFS('Unos rashoda i izdataka'!$K$3:$K$524,'Unos rashoda i izdataka'!$C$3:$C$524,"=52",'Unos rashoda i izdataka'!$P$3:$P$524,"=43")+SUMIFS('Unos rashoda P4'!$I$3:$I$501,'Unos rashoda P4'!$A$3:$A$501,"=52",'Unos rashoda P4'!$S$3:$S$501,"=43")</f>
        <v>0</v>
      </c>
      <c r="K52" s="74">
        <f>SUMIFS('Unos rashoda i izdataka'!$K$3:$K$524,'Unos rashoda i izdataka'!$C$3:$C$524,"=552",'Unos rashoda i izdataka'!$P$3:$P$524,"=43")+SUMIFS('Unos rashoda P4'!$I$3:$I$501,'Unos rashoda P4'!$A$3:$A$501,"=552",'Unos rashoda P4'!$S$3:$S$501,"=43")</f>
        <v>0</v>
      </c>
      <c r="L52" s="74">
        <f>SUMIFS('Unos rashoda i izdataka'!$K$3:$K$524,'Unos rashoda i izdataka'!$C$3:$C$524,"=559",'Unos rashoda i izdataka'!$P$3:$P$524,"=43")+SUMIFS('Unos rashoda P4'!$I$3:$I$501,'Unos rashoda P4'!$A$3:$A$501,"=559",'Unos rashoda P4'!$S$3:$S$501,"=43")</f>
        <v>0</v>
      </c>
      <c r="M52" s="74">
        <f>SUMIFS('Unos rashoda i izdataka'!$K$3:$K$524,'Unos rashoda i izdataka'!$C$3:$C$524,"=561",'Unos rashoda i izdataka'!$P$3:$P$524,"=43")+SUMIFS('Unos rashoda P4'!$I$3:$I$501,'Unos rashoda P4'!$A$3:$A$501,"=561",'Unos rashoda P4'!$S$3:$S$501,"=43")</f>
        <v>0</v>
      </c>
      <c r="N52" s="74">
        <f>SUMIFS('Unos rashoda i izdataka'!$K$3:$K$524,'Unos rashoda i izdataka'!$C$3:$C$524,"=563",'Unos rashoda i izdataka'!$P$3:$P$524,"=43")+SUMIFS('Unos rashoda P4'!$I$3:$I$501,'Unos rashoda P4'!$A$3:$A$501,"=563",'Unos rashoda P4'!$S$3:$S$501,"=43")</f>
        <v>0</v>
      </c>
      <c r="O52" s="74">
        <f>SUMIFS('Unos rashoda i izdataka'!$K$3:$K$524,'Unos rashoda i izdataka'!$C$3:$C$524,"=573",'Unos rashoda i izdataka'!$P$3:$P$524,"=43")+SUMIFS('Unos rashoda P4'!$I$3:$I$501,'Unos rashoda P4'!$A$3:$A$501,"=573",'Unos rashoda P4'!$S$3:$S$501,"=43")</f>
        <v>0</v>
      </c>
      <c r="P52" s="74">
        <f>SUMIFS('Unos rashoda i izdataka'!$K$3:$K$524,'Unos rashoda i izdataka'!$C$3:$C$524,"=575",'Unos rashoda i izdataka'!$P$3:$P$524,"=43")+SUMIFS('Unos rashoda P4'!$I$3:$I$501,'Unos rashoda P4'!$A$3:$A$501,"=575",'Unos rashoda P4'!$S$3:$S$501,"=43")</f>
        <v>0</v>
      </c>
      <c r="Q52" s="74">
        <f>SUMIFS('Unos rashoda i izdataka'!$K$3:$K$524,'Unos rashoda i izdataka'!$Q$3:$Q$524,"=576",'Unos rashoda i izdataka'!$P$3:$P$524,"=43")+SUMIFS('Unos rashoda P4'!$I$3:$I$501,'Unos rashoda P4'!$A$3:$A$501,"=576",'Unos rashoda P4'!$S$3:$S$501,"=43")</f>
        <v>0</v>
      </c>
      <c r="R52" s="74">
        <f>SUMIFS('Unos rashoda i izdataka'!$K$3:$K$524,'Unos rashoda i izdataka'!$C$3:$C$524,"=581",'Unos rashoda i izdataka'!$P$3:$P$524,"=43")+SUMIFS('Unos rashoda P4'!$I$3:$I$501,'Unos rashoda P4'!$A$3:$A$501,"=581",'Unos rashoda P4'!$S$3:$S$501,"=43")</f>
        <v>0</v>
      </c>
      <c r="S52" s="74">
        <f>SUMIFS('Unos rashoda i izdataka'!$K$3:$K$524,'Unos rashoda i izdataka'!$C$3:$C$524,"=61",'Unos rashoda i izdataka'!$P$3:$P$524,"=43")+SUMIFS('Unos rashoda P4'!$I$3:$I$501,'Unos rashoda P4'!$A$3:$A$501,"=61",'Unos rashoda P4'!$S$3:$S$501,"=43")</f>
        <v>0</v>
      </c>
      <c r="T52" s="74">
        <f>SUMIFS('Unos rashoda i izdataka'!$K$3:$K$524,'Unos rashoda i izdataka'!$C$3:$C$524,"=63",'Unos rashoda i izdataka'!$P$3:$P$524,"=43")+SUMIFS('Unos rashoda P4'!$I$3:$I$501,'Unos rashoda P4'!$A$3:$A$501,"=63",'Unos rashoda P4'!$S$3:$S$501,"=43")</f>
        <v>0</v>
      </c>
      <c r="U52" s="74">
        <f>SUMIFS('Unos rashoda i izdataka'!$K$3:$K$524,'Unos rashoda i izdataka'!$C$3:$C$524,"=71",'Unos rashoda i izdataka'!$P$3:$P$524,"=43")+SUMIFS('Unos rashoda P4'!$I$3:$I$501,'Unos rashoda P4'!$A$3:$A$501,"=71",'Unos rashoda P4'!$S$3:$S$501,"=43")</f>
        <v>0</v>
      </c>
      <c r="V52" s="74">
        <f>SUMIFS('Unos rashoda i izdataka'!$K$3:$K$524,'Unos rashoda i izdataka'!$C$3:$C$524,"=81",'Unos rashoda i izdataka'!$P$3:$P$524,"=43")+SUMIFS('Unos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izdataka'!$K$3:$K$524,'Unos rashoda i izdataka'!$C$3:$C$524,"=11",'Unos rashoda i izdataka'!$P$3:$P$524,"=44")+SUMIFS('Unos rashoda P4'!$I$3:$I$501,'Unos rashoda P4'!$A$3:$A$501,"=11",'Unos rashoda P4'!$S$3:$S$501,"=44")</f>
        <v>0</v>
      </c>
      <c r="E53" s="74">
        <f>SUMIFS('Unos rashoda i izdataka'!$K$3:$K$524,'Unos rashoda i izdataka'!$C$3:$C$524,"=12",'Unos rashoda i izdataka'!$P$3:$P$524,"=44")+SUMIFS('Unos rashoda P4'!$I$3:$I$501,'Unos rashoda P4'!$A$3:$A$501,"=12",'Unos rashoda P4'!$S$3:$S$501,"=44")</f>
        <v>0</v>
      </c>
      <c r="F53" s="74">
        <f>SUMIFS('Unos rashoda i izdataka'!$K$3:$K$524,'Unos rashoda i izdataka'!$C$3:$C$524,"=31",'Unos rashoda i izdataka'!$P$3:$P$524,"=44")+SUMIFS('Unos rashoda P4'!$I$3:$I$501,'Unos rashoda P4'!$A$3:$A$501,"=31",'Unos rashoda P4'!$S$3:$S$501,"=44")</f>
        <v>0</v>
      </c>
      <c r="G53" s="74">
        <f>SUMIFS('Unos rashoda i izdataka'!$K$3:$K$524,'Unos rashoda i izdataka'!$C$3:$C$524,"=41",'Unos rashoda i izdataka'!$P$3:$P$524,"=44")+SUMIFS('Unos rashoda P4'!$I$3:$I$501,'Unos rashoda P4'!$A$3:$A$501,"=41",'Unos rashoda P4'!$S$3:$S$501,"=44")</f>
        <v>0</v>
      </c>
      <c r="H53" s="74">
        <f>SUMIFS('Unos rashoda i izdataka'!$K$3:$K$524,'Unos rashoda i izdataka'!$C$3:$C$524,"=43",'Unos rashoda i izdataka'!$P$3:$P$524,"=44")+SUMIFS('Unos rashoda P4'!$I$3:$I$501,'Unos rashoda P4'!$A$3:$A$501,"=43",'Unos rashoda P4'!$S$3:$S$501,"=44")</f>
        <v>0</v>
      </c>
      <c r="I53" s="74">
        <f>SUMIFS('Unos rashoda i izdataka'!$K$3:$K$524,'Unos rashoda i izdataka'!$C$3:$C$524,"=51",'Unos rashoda i izdataka'!$P$3:$P$524,"=44")+SUMIFS('Unos rashoda P4'!$I$3:$I$501,'Unos rashoda P4'!$A$3:$A$501,"=51",'Unos rashoda P4'!$S$3:$S$501,"=44")</f>
        <v>0</v>
      </c>
      <c r="J53" s="74">
        <f>SUMIFS('Unos rashoda i izdataka'!$K$3:$K$524,'Unos rashoda i izdataka'!$C$3:$C$524,"=52",'Unos rashoda i izdataka'!$P$3:$P$524,"=44")+SUMIFS('Unos rashoda P4'!$I$3:$I$501,'Unos rashoda P4'!$A$3:$A$501,"=52",'Unos rashoda P4'!$S$3:$S$501,"=44")</f>
        <v>0</v>
      </c>
      <c r="K53" s="74">
        <f>SUMIFS('Unos rashoda i izdataka'!$K$3:$K$524,'Unos rashoda i izdataka'!$C$3:$C$524,"=552",'Unos rashoda i izdataka'!$P$3:$P$524,"=44")+SUMIFS('Unos rashoda P4'!$I$3:$I$501,'Unos rashoda P4'!$A$3:$A$501,"=552",'Unos rashoda P4'!$S$3:$S$501,"=44")</f>
        <v>0</v>
      </c>
      <c r="L53" s="74">
        <f>SUMIFS('Unos rashoda i izdataka'!$K$3:$K$524,'Unos rashoda i izdataka'!$C$3:$C$524,"=559",'Unos rashoda i izdataka'!$P$3:$P$524,"=44")+SUMIFS('Unos rashoda P4'!$I$3:$I$501,'Unos rashoda P4'!$A$3:$A$501,"=559",'Unos rashoda P4'!$S$3:$S$501,"=44")</f>
        <v>0</v>
      </c>
      <c r="M53" s="74">
        <f>SUMIFS('Unos rashoda i izdataka'!$K$3:$K$524,'Unos rashoda i izdataka'!$C$3:$C$524,"=561",'Unos rashoda i izdataka'!$P$3:$P$524,"=44")+SUMIFS('Unos rashoda P4'!$I$3:$I$501,'Unos rashoda P4'!$A$3:$A$501,"=561",'Unos rashoda P4'!$S$3:$S$501,"=44")</f>
        <v>0</v>
      </c>
      <c r="N53" s="74">
        <f>SUMIFS('Unos rashoda i izdataka'!$K$3:$K$524,'Unos rashoda i izdataka'!$C$3:$C$524,"=563",'Unos rashoda i izdataka'!$P$3:$P$524,"=44")+SUMIFS('Unos rashoda P4'!$I$3:$I$501,'Unos rashoda P4'!$A$3:$A$501,"=563",'Unos rashoda P4'!$S$3:$S$501,"=44")</f>
        <v>0</v>
      </c>
      <c r="O53" s="74">
        <f>SUMIFS('Unos rashoda i izdataka'!$K$3:$K$524,'Unos rashoda i izdataka'!$C$3:$C$524,"=573",'Unos rashoda i izdataka'!$P$3:$P$524,"=44")+SUMIFS('Unos rashoda P4'!$I$3:$I$501,'Unos rashoda P4'!$A$3:$A$501,"=573",'Unos rashoda P4'!$S$3:$S$501,"=44")</f>
        <v>0</v>
      </c>
      <c r="P53" s="74">
        <f>SUMIFS('Unos rashoda i izdataka'!$K$3:$K$524,'Unos rashoda i izdataka'!$C$3:$C$524,"=575",'Unos rashoda i izdataka'!$P$3:$P$524,"=44")+SUMIFS('Unos rashoda P4'!$I$3:$I$501,'Unos rashoda P4'!$A$3:$A$501,"=575",'Unos rashoda P4'!$S$3:$S$501,"=44")</f>
        <v>0</v>
      </c>
      <c r="Q53" s="74">
        <f>SUMIFS('Unos rashoda i izdataka'!$K$3:$K$524,'Unos rashoda i izdataka'!$Q$3:$Q$524,"=576",'Unos rashoda i izdataka'!$P$3:$P$524,"=44")+SUMIFS('Unos rashoda P4'!$I$3:$I$501,'Unos rashoda P4'!$A$3:$A$501,"=576",'Unos rashoda P4'!$S$3:$S$501,"=44")</f>
        <v>0</v>
      </c>
      <c r="R53" s="74">
        <f>SUMIFS('Unos rashoda i izdataka'!$K$3:$K$524,'Unos rashoda i izdataka'!$C$3:$C$524,"=581",'Unos rashoda i izdataka'!$P$3:$P$524,"=44")+SUMIFS('Unos rashoda P4'!$I$3:$I$501,'Unos rashoda P4'!$A$3:$A$501,"=581",'Unos rashoda P4'!$S$3:$S$501,"=44")</f>
        <v>0</v>
      </c>
      <c r="S53" s="74">
        <f>SUMIFS('Unos rashoda i izdataka'!$K$3:$K$524,'Unos rashoda i izdataka'!$C$3:$C$524,"=61",'Unos rashoda i izdataka'!$P$3:$P$524,"=44")+SUMIFS('Unos rashoda P4'!$I$3:$I$501,'Unos rashoda P4'!$A$3:$A$501,"=61",'Unos rashoda P4'!$S$3:$S$501,"=44")</f>
        <v>0</v>
      </c>
      <c r="T53" s="74">
        <f>SUMIFS('Unos rashoda i izdataka'!$K$3:$K$524,'Unos rashoda i izdataka'!$C$3:$C$524,"=63",'Unos rashoda i izdataka'!$P$3:$P$524,"=44")+SUMIFS('Unos rashoda P4'!$I$3:$I$501,'Unos rashoda P4'!$A$3:$A$501,"=63",'Unos rashoda P4'!$S$3:$S$501,"=44")</f>
        <v>0</v>
      </c>
      <c r="U53" s="74">
        <f>SUMIFS('Unos rashoda i izdataka'!$K$3:$K$524,'Unos rashoda i izdataka'!$C$3:$C$524,"=71",'Unos rashoda i izdataka'!$P$3:$P$524,"=44")+SUMIFS('Unos rashoda P4'!$I$3:$I$501,'Unos rashoda P4'!$A$3:$A$501,"=71",'Unos rashoda P4'!$S$3:$S$501,"=44")</f>
        <v>0</v>
      </c>
      <c r="V53" s="74">
        <f>SUMIFS('Unos rashoda i izdataka'!$K$3:$K$524,'Unos rashoda i izdataka'!$C$3:$C$524,"=81",'Unos rashoda i izdataka'!$P$3:$P$524,"=44")+SUMIFS('Unos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izdataka'!$K$3:$K$524,'Unos rashoda i izdataka'!$C$3:$C$524,"=11",'Unos rashoda i izdataka'!$P$3:$P$524,"=45")+SUMIFS('Unos rashoda P4'!$I$3:$I$501,'Unos rashoda P4'!$A$3:$A$501,"=11",'Unos rashoda P4'!$S$3:$S$501,"=45")</f>
        <v>0</v>
      </c>
      <c r="E54" s="74">
        <f>SUMIFS('Unos rashoda i izdataka'!$K$3:$K$524,'Unos rashoda i izdataka'!$C$3:$C$524,"=12",'Unos rashoda i izdataka'!$P$3:$P$524,"=45")+SUMIFS('Unos rashoda P4'!$I$3:$I$501,'Unos rashoda P4'!$A$3:$A$501,"=12",'Unos rashoda P4'!$S$3:$S$501,"=45")</f>
        <v>0</v>
      </c>
      <c r="F54" s="74">
        <f>SUMIFS('Unos rashoda i izdataka'!$K$3:$K$524,'Unos rashoda i izdataka'!$C$3:$C$524,"=31",'Unos rashoda i izdataka'!$P$3:$P$524,"=45")+SUMIFS('Unos rashoda P4'!$I$3:$I$501,'Unos rashoda P4'!$A$3:$A$501,"=31",'Unos rashoda P4'!$S$3:$S$501,"=45")</f>
        <v>0</v>
      </c>
      <c r="G54" s="74">
        <f>SUMIFS('Unos rashoda i izdataka'!$K$3:$K$524,'Unos rashoda i izdataka'!$C$3:$C$524,"=41",'Unos rashoda i izdataka'!$P$3:$P$524,"=45")+SUMIFS('Unos rashoda P4'!$I$3:$I$501,'Unos rashoda P4'!$A$3:$A$501,"=41",'Unos rashoda P4'!$S$3:$S$501,"=45")</f>
        <v>0</v>
      </c>
      <c r="H54" s="74">
        <f>SUMIFS('Unos rashoda i izdataka'!$K$3:$K$524,'Unos rashoda i izdataka'!$C$3:$C$524,"=43",'Unos rashoda i izdataka'!$P$3:$P$524,"=45")+SUMIFS('Unos rashoda P4'!$I$3:$I$501,'Unos rashoda P4'!$A$3:$A$501,"=43",'Unos rashoda P4'!$S$3:$S$501,"=45")</f>
        <v>0</v>
      </c>
      <c r="I54" s="74">
        <f>SUMIFS('Unos rashoda i izdataka'!$K$3:$K$524,'Unos rashoda i izdataka'!$C$3:$C$524,"=51",'Unos rashoda i izdataka'!$P$3:$P$524,"=45")+SUMIFS('Unos rashoda P4'!$I$3:$I$501,'Unos rashoda P4'!$A$3:$A$501,"=51",'Unos rashoda P4'!$S$3:$S$501,"=45")</f>
        <v>0</v>
      </c>
      <c r="J54" s="74">
        <f>SUMIFS('Unos rashoda i izdataka'!$K$3:$K$524,'Unos rashoda i izdataka'!$C$3:$C$524,"=52",'Unos rashoda i izdataka'!$P$3:$P$524,"=45")+SUMIFS('Unos rashoda P4'!$I$3:$I$501,'Unos rashoda P4'!$A$3:$A$501,"=52",'Unos rashoda P4'!$S$3:$S$501,"=45")</f>
        <v>0</v>
      </c>
      <c r="K54" s="74">
        <f>SUMIFS('Unos rashoda i izdataka'!$K$3:$K$524,'Unos rashoda i izdataka'!$C$3:$C$524,"=552",'Unos rashoda i izdataka'!$P$3:$P$524,"=45")+SUMIFS('Unos rashoda P4'!$I$3:$I$501,'Unos rashoda P4'!$A$3:$A$501,"=552",'Unos rashoda P4'!$S$3:$S$501,"=45")</f>
        <v>0</v>
      </c>
      <c r="L54" s="74">
        <f>SUMIFS('Unos rashoda i izdataka'!$K$3:$K$524,'Unos rashoda i izdataka'!$C$3:$C$524,"=559",'Unos rashoda i izdataka'!$P$3:$P$524,"=45")+SUMIFS('Unos rashoda P4'!$I$3:$I$501,'Unos rashoda P4'!$A$3:$A$501,"=559",'Unos rashoda P4'!$S$3:$S$501,"=45")</f>
        <v>0</v>
      </c>
      <c r="M54" s="74">
        <f>SUMIFS('Unos rashoda i izdataka'!$K$3:$K$524,'Unos rashoda i izdataka'!$C$3:$C$524,"=561",'Unos rashoda i izdataka'!$P$3:$P$524,"=45")+SUMIFS('Unos rashoda P4'!$I$3:$I$501,'Unos rashoda P4'!$A$3:$A$501,"=561",'Unos rashoda P4'!$S$3:$S$501,"=45")</f>
        <v>0</v>
      </c>
      <c r="N54" s="74">
        <f>SUMIFS('Unos rashoda i izdataka'!$K$3:$K$524,'Unos rashoda i izdataka'!$C$3:$C$524,"=563",'Unos rashoda i izdataka'!$P$3:$P$524,"=45")+SUMIFS('Unos rashoda P4'!$I$3:$I$501,'Unos rashoda P4'!$A$3:$A$501,"=563",'Unos rashoda P4'!$S$3:$S$501,"=45")</f>
        <v>0</v>
      </c>
      <c r="O54" s="74">
        <f>SUMIFS('Unos rashoda i izdataka'!$K$3:$K$524,'Unos rashoda i izdataka'!$C$3:$C$524,"=573",'Unos rashoda i izdataka'!$P$3:$P$524,"=45")+SUMIFS('Unos rashoda P4'!$I$3:$I$501,'Unos rashoda P4'!$A$3:$A$501,"=573",'Unos rashoda P4'!$S$3:$S$501,"=45")</f>
        <v>0</v>
      </c>
      <c r="P54" s="74">
        <f>SUMIFS('Unos rashoda i izdataka'!$K$3:$K$524,'Unos rashoda i izdataka'!$C$3:$C$524,"=575",'Unos rashoda i izdataka'!$P$3:$P$524,"=45")+SUMIFS('Unos rashoda P4'!$I$3:$I$501,'Unos rashoda P4'!$A$3:$A$501,"=575",'Unos rashoda P4'!$S$3:$S$501,"=45")</f>
        <v>0</v>
      </c>
      <c r="Q54" s="74">
        <f>SUMIFS('Unos rashoda i izdataka'!$K$3:$K$524,'Unos rashoda i izdataka'!$Q$3:$Q$524,"=576",'Unos rashoda i izdataka'!$P$3:$P$524,"=45")+SUMIFS('Unos rashoda P4'!$I$3:$I$501,'Unos rashoda P4'!$A$3:$A$501,"=576",'Unos rashoda P4'!$S$3:$S$501,"=45")</f>
        <v>0</v>
      </c>
      <c r="R54" s="74">
        <f>SUMIFS('Unos rashoda i izdataka'!$K$3:$K$524,'Unos rashoda i izdataka'!$C$3:$C$524,"=581",'Unos rashoda i izdataka'!$P$3:$P$524,"=45")+SUMIFS('Unos rashoda P4'!$I$3:$I$501,'Unos rashoda P4'!$A$3:$A$501,"=581",'Unos rashoda P4'!$S$3:$S$501,"=45")</f>
        <v>0</v>
      </c>
      <c r="S54" s="74">
        <f>SUMIFS('Unos rashoda i izdataka'!$K$3:$K$524,'Unos rashoda i izdataka'!$C$3:$C$524,"=61",'Unos rashoda i izdataka'!$P$3:$P$524,"=45")+SUMIFS('Unos rashoda P4'!$I$3:$I$501,'Unos rashoda P4'!$A$3:$A$501,"=61",'Unos rashoda P4'!$S$3:$S$501,"=45")</f>
        <v>0</v>
      </c>
      <c r="T54" s="74">
        <f>SUMIFS('Unos rashoda i izdataka'!$K$3:$K$524,'Unos rashoda i izdataka'!$C$3:$C$524,"=63",'Unos rashoda i izdataka'!$P$3:$P$524,"=45")+SUMIFS('Unos rashoda P4'!$I$3:$I$501,'Unos rashoda P4'!$A$3:$A$501,"=63",'Unos rashoda P4'!$S$3:$S$501,"=45")</f>
        <v>0</v>
      </c>
      <c r="U54" s="74">
        <f>SUMIFS('Unos rashoda i izdataka'!$K$3:$K$524,'Unos rashoda i izdataka'!$C$3:$C$524,"=71",'Unos rashoda i izdataka'!$P$3:$P$524,"=45")+SUMIFS('Unos rashoda P4'!$I$3:$I$501,'Unos rashoda P4'!$A$3:$A$501,"=71",'Unos rashoda P4'!$S$3:$S$501,"=45")</f>
        <v>0</v>
      </c>
      <c r="V54" s="74">
        <f>SUMIFS('Unos rashoda i izdataka'!$K$3:$K$524,'Unos rashoda i izdataka'!$C$3:$C$524,"=81",'Unos rashoda i izdataka'!$P$3:$P$524,"=45")+SUMIFS('Unos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5267</v>
      </c>
      <c r="C57" s="60">
        <f t="shared" ref="C57:C79" si="26">SUM(D57:V57)</f>
        <v>855291</v>
      </c>
      <c r="D57" s="61">
        <f>D58+D74</f>
        <v>698507</v>
      </c>
      <c r="E57" s="61">
        <f t="shared" ref="E57:V57" si="27">E58+E74</f>
        <v>0</v>
      </c>
      <c r="F57" s="61">
        <f t="shared" si="27"/>
        <v>31692</v>
      </c>
      <c r="G57" s="61">
        <f t="shared" si="27"/>
        <v>0</v>
      </c>
      <c r="H57" s="61">
        <f t="shared" si="27"/>
        <v>86282</v>
      </c>
      <c r="I57" s="61">
        <f t="shared" si="27"/>
        <v>1320</v>
      </c>
      <c r="J57" s="61">
        <f t="shared" si="27"/>
        <v>37490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809932</v>
      </c>
      <c r="D58" s="68">
        <f>+D59+D64+D69+D70+D71+D72+D73</f>
        <v>677086</v>
      </c>
      <c r="E58" s="68">
        <f t="shared" ref="E58" si="28">+E59+E64+E69+E70+E71+E72+E73</f>
        <v>0</v>
      </c>
      <c r="F58" s="68">
        <f t="shared" ref="F58" si="29">+F59+F64+F69+F70+F71+F72+F73</f>
        <v>31692</v>
      </c>
      <c r="G58" s="68">
        <f t="shared" ref="G58" si="30">+G59+G64+G69+G70+G71+G72+G73</f>
        <v>0</v>
      </c>
      <c r="H58" s="68">
        <f t="shared" ref="H58" si="31">+H59+H64+H69+H70+H71+H72+H73</f>
        <v>62344</v>
      </c>
      <c r="I58" s="68">
        <f t="shared" ref="I58" si="32">+I59+I64+I69+I70+I71+I72+I73</f>
        <v>1320</v>
      </c>
      <c r="J58" s="68">
        <f t="shared" ref="J58" si="33">+J59+J64+J69+J70+J71+J72+J73</f>
        <v>37490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590344</v>
      </c>
      <c r="D59" s="74">
        <f>SUMIFS('Unos rashoda i izdataka'!$L$3:$L$524,'Unos rashoda i izdataka'!$C$3:$C$524,"=11",'Unos rashoda i izdataka'!$P$3:$P$524,"=31")+SUMIFS('Unos rashoda P4'!$J$3:$J$501,'Unos rashoda P4'!$A$3:$A$501,"=11",'Unos rashoda P4'!$S$3:$S$501,"=31")</f>
        <v>573566</v>
      </c>
      <c r="E59" s="74">
        <f>SUMIFS('Unos rashoda i izdataka'!$L$3:$L$524,'Unos rashoda i izdataka'!$C$3:$C$524,"=12",'Unos rashoda i izdataka'!$P$3:$P$524,"=31")+SUMIFS('Unos rashoda P4'!$J$3:$J$501,'Unos rashoda P4'!$A$3:$A$501,"=12",'Unos rashoda P4'!$S$3:$S$501,"=31")</f>
        <v>0</v>
      </c>
      <c r="F59" s="74">
        <f>SUMIFS('Unos rashoda i izdataka'!$L$3:$L$524,'Unos rashoda i izdataka'!$C$3:$C$524,"=31",'Unos rashoda i izdataka'!$P$3:$P$524,"=31")+SUMIFS('Unos rashoda P4'!$J$3:$J$501,'Unos rashoda P4'!$A$3:$A$501,"=31",'Unos rashoda P4'!$S$3:$S$501,"=31")</f>
        <v>0</v>
      </c>
      <c r="G59" s="74">
        <f>SUMIFS('Unos rashoda i izdataka'!$L$3:$L$524,'Unos rashoda i izdataka'!$C$3:$C$524,"=41",'Unos rashoda i izdataka'!$P$3:$P$524,"=31")+SUMIFS('Unos rashoda P4'!$J$3:$J$501,'Unos rashoda P4'!$A$3:$A$501,"=41",'Unos rashoda P4'!$S$3:$S$501,"=31")</f>
        <v>0</v>
      </c>
      <c r="H59" s="74">
        <f>SUMIFS('Unos rashoda i izdataka'!$L$3:$L$524,'Unos rashoda i izdataka'!$C$3:$C$524,"=43",'Unos rashoda i izdataka'!$P$3:$P$524,"=31")+SUMIFS('Unos rashoda P4'!$J$3:$J$501,'Unos rashoda P4'!$A$3:$A$501,"=43",'Unos rashoda P4'!$S$3:$S$501,"=31")</f>
        <v>12047</v>
      </c>
      <c r="I59" s="74">
        <f>SUMIFS('Unos rashoda i izdataka'!$L$3:$L$524,'Unos rashoda i izdataka'!$C$3:$C$524,"=51",'Unos rashoda i izdataka'!$P$3:$P$524,"=31")+SUMIFS('Unos rashoda P4'!$J$3:$J$501,'Unos rashoda P4'!$A$3:$A$501,"=51",'Unos rashoda P4'!$S$3:$S$501,"=31")</f>
        <v>0</v>
      </c>
      <c r="J59" s="74">
        <f>SUMIFS('Unos rashoda i izdataka'!$L$3:$L$524,'Unos rashoda i izdataka'!$C$3:$C$524,"=52",'Unos rashoda i izdataka'!$P$3:$P$524,"=31")+SUMIFS('Unos rashoda P4'!$J$3:$J$501,'Unos rashoda P4'!$A$3:$A$501,"=52",'Unos rashoda P4'!$S$3:$S$501,"=31")</f>
        <v>4731</v>
      </c>
      <c r="K59" s="74">
        <f>SUMIFS('Unos rashoda i izdataka'!$L$3:$L$524,'Unos rashoda i izdataka'!$C$3:$C$524,"=552",'Unos rashoda i izdataka'!$P$3:$P$524,"=31")+SUMIFS('Unos rashoda P4'!$J$3:$J$501,'Unos rashoda P4'!$A$3:$A$501,"=552",'Unos rashoda P4'!$S$3:$S$501,"=31")</f>
        <v>0</v>
      </c>
      <c r="L59" s="74">
        <f>SUMIFS('Unos rashoda i izdataka'!$L$3:$L$524,'Unos rashoda i izdataka'!$C$3:$C$524,"=559",'Unos rashoda i izdataka'!$P$3:$P$524,"=31")+SUMIFS('Unos rashoda P4'!$J$3:$J$501,'Unos rashoda P4'!$A$3:$A$501,"=559",'Unos rashoda P4'!$S$3:$S$501,"=31")</f>
        <v>0</v>
      </c>
      <c r="M59" s="74">
        <f>SUMIFS('Unos rashoda i izdataka'!$L$3:$L$524,'Unos rashoda i izdataka'!$C$3:$C$524,"=561",'Unos rashoda i izdataka'!$P$3:$P$524,"=31")+SUMIFS('Unos rashoda P4'!$J$3:$J$501,'Unos rashoda P4'!$A$3:$A$501,"=561",'Unos rashoda P4'!$S$3:$S$501,"=31")</f>
        <v>0</v>
      </c>
      <c r="N59" s="74">
        <f>SUMIFS('Unos rashoda i izdataka'!$L$3:$L$524,'Unos rashoda i izdataka'!$C$3:$C$524,"=563",'Unos rashoda i izdataka'!$P$3:$P$524,"=31")+SUMIFS('Unos rashoda P4'!$J$3:$J$501,'Unos rashoda P4'!$A$3:$A$501,"=563",'Unos rashoda P4'!$S$3:$S$501,"=31")</f>
        <v>0</v>
      </c>
      <c r="O59" s="74">
        <f>SUMIFS('Unos rashoda i izdataka'!$L$3:$L$524,'Unos rashoda i izdataka'!$C$3:$C$524,"=573",'Unos rashoda i izdataka'!$P$3:$P$524,"=31")+SUMIFS('Unos rashoda P4'!$J$3:$J$501,'Unos rashoda P4'!$A$3:$A$501,"=573",'Unos rashoda P4'!$S$3:$S$501,"=31")</f>
        <v>0</v>
      </c>
      <c r="P59" s="74">
        <f>SUMIFS('Unos rashoda i izdataka'!$L$3:$L$524,'Unos rashoda i izdataka'!$C$3:$C$524,"=575",'Unos rashoda i izdataka'!$P$3:$P$524,"=31")+SUMIFS('Unos rashoda P4'!$J$3:$J$501,'Unos rashoda P4'!$A$3:$A$501,"=575",'Unos rashoda P4'!$S$3:$S$501,"=31")</f>
        <v>0</v>
      </c>
      <c r="Q59" s="74">
        <f>SUMIFS('Unos rashoda i izdataka'!$L$3:$L$524,'Unos rashoda i izdataka'!$Q$3:$Q$524,"=576",'Unos rashoda i izdataka'!$P$3:$P$524,"=31")+SUMIFS('Unos rashoda P4'!$J$3:$J$501,'Unos rashoda P4'!$A$3:$A$501,"=576",'Unos rashoda P4'!$S$3:$S$501,"=31")</f>
        <v>0</v>
      </c>
      <c r="R59" s="74">
        <f>SUMIFS('Unos rashoda i izdataka'!$L$3:$L$524,'Unos rashoda i izdataka'!$C$3:$C$524,"=581",'Unos rashoda i izdataka'!$P$3:$P$524,"=31")+SUMIFS('Unos rashoda P4'!$J$3:$J$501,'Unos rashoda P4'!$A$3:$A$501,"=581",'Unos rashoda P4'!$S$3:$S$501,"=31")</f>
        <v>0</v>
      </c>
      <c r="S59" s="74">
        <f>SUMIFS('Unos rashoda i izdataka'!$L$3:$L$524,'Unos rashoda i izdataka'!$C$3:$C$524,"=61",'Unos rashoda i izdataka'!$P$3:$P$524,"=31")+SUMIFS('Unos rashoda P4'!$J$3:$J$501,'Unos rashoda P4'!$A$3:$A$501,"=61",'Unos rashoda P4'!$S$3:$S$501,"=31")</f>
        <v>0</v>
      </c>
      <c r="T59" s="74">
        <f>SUMIFS('Unos rashoda i izdataka'!$L$3:$L$524,'Unos rashoda i izdataka'!$C$3:$C$524,"=63",'Unos rashoda i izdataka'!$P$3:$P$524,"=31")+SUMIFS('Unos rashoda P4'!$J$3:$J$501,'Unos rashoda P4'!$A$3:$A$501,"=63",'Unos rashoda P4'!$S$3:$S$501,"=31")</f>
        <v>0</v>
      </c>
      <c r="U59" s="74">
        <f>SUMIFS('Unos rashoda i izdataka'!$L$3:$L$524,'Unos rashoda i izdataka'!$C$3:$C$524,"=71",'Unos rashoda i izdataka'!$P$3:$P$524,"=31")+SUMIFS('Unos rashoda P4'!$J$3:$J$501,'Unos rashoda P4'!$A$3:$A$501,"=71",'Unos rashoda P4'!$S$3:$S$501,"=31")</f>
        <v>0</v>
      </c>
      <c r="V59" s="74">
        <f>SUMIFS('Unos rashoda i izdataka'!$L$3:$L$524,'Unos rashoda i izdataka'!$C$3:$C$524,"=81",'Unos rashoda i izdataka'!$P$3:$P$524,"=31")+SUMIFS('Unos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214426</v>
      </c>
      <c r="D64" s="74">
        <f>SUMIFS('Unos rashoda i izdataka'!$L$3:$L$524,'Unos rashoda i izdataka'!$C$3:$C$524,"=11",'Unos rashoda i izdataka'!$P$3:$P$524,"=32")+SUMIFS('Unos rashoda P4'!$J$3:$J$501,'Unos rashoda P4'!$A$3:$A$501,"=11",'Unos rashoda P4'!$S$3:$S$501,"=32")</f>
        <v>98943</v>
      </c>
      <c r="E64" s="74">
        <f>SUMIFS('Unos rashoda i izdataka'!$L$3:$L$524,'Unos rashoda i izdataka'!$C$3:$C$524,"=12",'Unos rashoda i izdataka'!$P$3:$P$524,"=32")+SUMIFS('Unos rashoda P4'!$J$3:$J$501,'Unos rashoda P4'!$A$3:$A$501,"=12",'Unos rashoda P4'!$S$3:$S$501,"=32")</f>
        <v>0</v>
      </c>
      <c r="F64" s="74">
        <f>SUMIFS('Unos rashoda i izdataka'!$L$3:$L$524,'Unos rashoda i izdataka'!$C$3:$C$524,"=31",'Unos rashoda i izdataka'!$P$3:$P$524,"=32")+SUMIFS('Unos rashoda P4'!$J$3:$J$501,'Unos rashoda P4'!$A$3:$A$501,"=31",'Unos rashoda P4'!$S$3:$S$501,"=32")</f>
        <v>31607</v>
      </c>
      <c r="G64" s="74">
        <f>SUMIFS('Unos rashoda i izdataka'!$L$3:$L$524,'Unos rashoda i izdataka'!$C$3:$C$524,"=41",'Unos rashoda i izdataka'!$P$3:$P$524,"=32")+SUMIFS('Unos rashoda P4'!$J$3:$J$501,'Unos rashoda P4'!$A$3:$A$501,"=41",'Unos rashoda P4'!$S$3:$S$501,"=32")</f>
        <v>0</v>
      </c>
      <c r="H64" s="74">
        <f>SUMIFS('Unos rashoda i izdataka'!$L$3:$L$524,'Unos rashoda i izdataka'!$C$3:$C$524,"=43",'Unos rashoda i izdataka'!$P$3:$P$524,"=32")+SUMIFS('Unos rashoda P4'!$J$3:$J$501,'Unos rashoda P4'!$A$3:$A$501,"=43",'Unos rashoda P4'!$S$3:$S$501,"=32")</f>
        <v>49797</v>
      </c>
      <c r="I64" s="74">
        <f>SUMIFS('Unos rashoda i izdataka'!$L$3:$L$524,'Unos rashoda i izdataka'!$C$3:$C$524,"=51",'Unos rashoda i izdataka'!$P$3:$P$524,"=32")+SUMIFS('Unos rashoda P4'!$J$3:$J$501,'Unos rashoda P4'!$A$3:$A$501,"=51",'Unos rashoda P4'!$S$3:$S$501,"=32")</f>
        <v>1320</v>
      </c>
      <c r="J64" s="74">
        <f>SUMIFS('Unos rashoda i izdataka'!$L$3:$L$524,'Unos rashoda i izdataka'!$C$3:$C$524,"=52",'Unos rashoda i izdataka'!$P$3:$P$524,"=32")+SUMIFS('Unos rashoda P4'!$J$3:$J$501,'Unos rashoda P4'!$A$3:$A$501,"=52",'Unos rashoda P4'!$S$3:$S$501,"=32")</f>
        <v>32759</v>
      </c>
      <c r="K64" s="74">
        <f>SUMIFS('Unos rashoda i izdataka'!$L$3:$L$524,'Unos rashoda i izdataka'!$C$3:$C$524,"=552",'Unos rashoda i izdataka'!$P$3:$P$524,"=32")+SUMIFS('Unos rashoda P4'!$J$3:$J$501,'Unos rashoda P4'!$A$3:$A$501,"=552",'Unos rashoda P4'!$S$3:$S$501,"=32")</f>
        <v>0</v>
      </c>
      <c r="L64" s="74">
        <f>SUMIFS('Unos rashoda i izdataka'!$L$3:$L$524,'Unos rashoda i izdataka'!$C$3:$C$524,"=559",'Unos rashoda i izdataka'!$P$3:$P$524,"=32")+SUMIFS('Unos rashoda P4'!$J$3:$J$501,'Unos rashoda P4'!$A$3:$A$501,"=559",'Unos rashoda P4'!$S$3:$S$501,"=32")</f>
        <v>0</v>
      </c>
      <c r="M64" s="74">
        <f>SUMIFS('Unos rashoda i izdataka'!$L$3:$L$524,'Unos rashoda i izdataka'!$C$3:$C$524,"=561",'Unos rashoda i izdataka'!$P$3:$P$524,"=32")+SUMIFS('Unos rashoda P4'!$J$3:$J$501,'Unos rashoda P4'!$A$3:$A$501,"=561",'Unos rashoda P4'!$S$3:$S$501,"=32")</f>
        <v>0</v>
      </c>
      <c r="N64" s="74">
        <f>SUMIFS('Unos rashoda i izdataka'!$L$3:$L$524,'Unos rashoda i izdataka'!$C$3:$C$524,"=563",'Unos rashoda i izdataka'!$P$3:$P$524,"=32")+SUMIFS('Unos rashoda P4'!$J$3:$J$501,'Unos rashoda P4'!$A$3:$A$501,"=563",'Unos rashoda P4'!$S$3:$S$501,"=32")</f>
        <v>0</v>
      </c>
      <c r="O64" s="74">
        <f>SUMIFS('Unos rashoda i izdataka'!$L$3:$L$524,'Unos rashoda i izdataka'!$C$3:$C$524,"=573",'Unos rashoda i izdataka'!$P$3:$P$524,"=32")+SUMIFS('Unos rashoda P4'!$J$3:$J$501,'Unos rashoda P4'!$A$3:$A$501,"=573",'Unos rashoda P4'!$S$3:$S$501,"=32")</f>
        <v>0</v>
      </c>
      <c r="P64" s="74">
        <f>SUMIFS('Unos rashoda i izdataka'!$L$3:$L$524,'Unos rashoda i izdataka'!$C$3:$C$524,"=575",'Unos rashoda i izdataka'!$P$3:$P$524,"=32")+SUMIFS('Unos rashoda P4'!$J$3:$J$501,'Unos rashoda P4'!$A$3:$A$501,"=575",'Unos rashoda P4'!$S$3:$S$501,"=32")</f>
        <v>0</v>
      </c>
      <c r="Q64" s="74">
        <f>SUMIFS('Unos rashoda i izdataka'!$L$3:$L$524,'Unos rashoda i izdataka'!$Q$3:$Q$524,"=576",'Unos rashoda i izdataka'!$P$3:$P$524,"=32")+SUMIFS('Unos rashoda P4'!$J$3:$J$501,'Unos rashoda P4'!$A$3:$A$501,"=576",'Unos rashoda P4'!$S$3:$S$501,"=32")</f>
        <v>0</v>
      </c>
      <c r="R64" s="74">
        <f>SUMIFS('Unos rashoda i izdataka'!$L$3:$L$524,'Unos rashoda i izdataka'!$C$3:$C$524,"=581",'Unos rashoda i izdataka'!$P$3:$P$524,"=32")+SUMIFS('Unos rashoda P4'!$J$3:$J$501,'Unos rashoda P4'!$A$3:$A$501,"=581",'Unos rashoda P4'!$S$3:$S$501,"=32")</f>
        <v>0</v>
      </c>
      <c r="S64" s="74">
        <f>SUMIFS('Unos rashoda i izdataka'!$L$3:$L$524,'Unos rashoda i izdataka'!$C$3:$C$524,"=61",'Unos rashoda i izdataka'!$P$3:$P$524,"=32")+SUMIFS('Unos rashoda P4'!$J$3:$J$501,'Unos rashoda P4'!$A$3:$A$501,"=61",'Unos rashoda P4'!$S$3:$S$501,"=32")</f>
        <v>0</v>
      </c>
      <c r="T64" s="74">
        <f>SUMIFS('Unos rashoda i izdataka'!$L$3:$L$524,'Unos rashoda i izdataka'!$C$3:$C$524,"=63",'Unos rashoda i izdataka'!$P$3:$P$524,"=32")+SUMIFS('Unos rashoda P4'!$J$3:$J$501,'Unos rashoda P4'!$A$3:$A$501,"=63",'Unos rashoda P4'!$S$3:$S$501,"=32")</f>
        <v>0</v>
      </c>
      <c r="U64" s="74">
        <f>SUMIFS('Unos rashoda i izdataka'!$L$3:$L$524,'Unos rashoda i izdataka'!$C$3:$C$524,"=71",'Unos rashoda i izdataka'!$P$3:$P$524,"=32")+SUMIFS('Unos rashoda P4'!$J$3:$J$501,'Unos rashoda P4'!$A$3:$A$501,"=71",'Unos rashoda P4'!$S$3:$S$501,"=32")</f>
        <v>0</v>
      </c>
      <c r="V64" s="74">
        <f>SUMIFS('Unos rashoda i izdataka'!$L$3:$L$524,'Unos rashoda i izdataka'!$C$3:$C$524,"=81",'Unos rashoda i izdataka'!$P$3:$P$524,"=32")+SUMIFS('Unos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1177</v>
      </c>
      <c r="D69" s="74">
        <f>SUMIFS('Unos rashoda i izdataka'!$L$3:$L$524,'Unos rashoda i izdataka'!$C$3:$C$524,"=11",'Unos rashoda i izdataka'!$P$3:$P$524,"=34")+SUMIFS('Unos rashoda P4'!$J$3:$J$501,'Unos rashoda P4'!$A$3:$A$501,"=11",'Unos rashoda P4'!$S$3:$S$501,"=34")</f>
        <v>592</v>
      </c>
      <c r="E69" s="74">
        <f>SUMIFS('Unos rashoda i izdataka'!$L$3:$L$524,'Unos rashoda i izdataka'!$C$3:$C$524,"=12",'Unos rashoda i izdataka'!$P$3:$P$524,"=34")+SUMIFS('Unos rashoda P4'!$J$3:$J$501,'Unos rashoda P4'!$A$3:$A$501,"=12",'Unos rashoda P4'!$S$3:$S$501,"=34")</f>
        <v>0</v>
      </c>
      <c r="F69" s="74">
        <f>SUMIFS('Unos rashoda i izdataka'!$L$3:$L$524,'Unos rashoda i izdataka'!$C$3:$C$524,"=31",'Unos rashoda i izdataka'!$P$3:$P$524,"=34")+SUMIFS('Unos rashoda P4'!$J$3:$J$501,'Unos rashoda P4'!$A$3:$A$501,"=31",'Unos rashoda P4'!$S$3:$S$501,"=34")</f>
        <v>85</v>
      </c>
      <c r="G69" s="74">
        <f>SUMIFS('Unos rashoda i izdataka'!$L$3:$L$524,'Unos rashoda i izdataka'!$C$3:$C$524,"=41",'Unos rashoda i izdataka'!$P$3:$P$524,"=34")+SUMIFS('Unos rashoda P4'!$J$3:$J$501,'Unos rashoda P4'!$A$3:$A$501,"=41",'Unos rashoda P4'!$S$3:$S$501,"=34")</f>
        <v>0</v>
      </c>
      <c r="H69" s="74">
        <f>SUMIFS('Unos rashoda i izdataka'!$L$3:$L$524,'Unos rashoda i izdataka'!$C$3:$C$524,"=43",'Unos rashoda i izdataka'!$P$3:$P$524,"=34")+SUMIFS('Unos rashoda P4'!$J$3:$J$501,'Unos rashoda P4'!$A$3:$A$501,"=43",'Unos rashoda P4'!$S$3:$S$501,"=34")</f>
        <v>500</v>
      </c>
      <c r="I69" s="74">
        <f>SUMIFS('Unos rashoda i izdataka'!$L$3:$L$524,'Unos rashoda i izdataka'!$C$3:$C$524,"=51",'Unos rashoda i izdataka'!$P$3:$P$524,"=34")+SUMIFS('Unos rashoda P4'!$J$3:$J$501,'Unos rashoda P4'!$A$3:$A$501,"=51",'Unos rashoda P4'!$S$3:$S$501,"=34")</f>
        <v>0</v>
      </c>
      <c r="J69" s="74">
        <f>SUMIFS('Unos rashoda i izdataka'!$L$3:$L$524,'Unos rashoda i izdataka'!$C$3:$C$524,"=52",'Unos rashoda i izdataka'!$P$3:$P$524,"=34")+SUMIFS('Unos rashoda P4'!$J$3:$J$501,'Unos rashoda P4'!$A$3:$A$501,"=52",'Unos rashoda P4'!$S$3:$S$501,"=34")</f>
        <v>0</v>
      </c>
      <c r="K69" s="74">
        <f>SUMIFS('Unos rashoda i izdataka'!$L$3:$L$524,'Unos rashoda i izdataka'!$C$3:$C$524,"=552",'Unos rashoda i izdataka'!$P$3:$P$524,"=34")+SUMIFS('Unos rashoda P4'!$J$3:$J$501,'Unos rashoda P4'!$A$3:$A$501,"=552",'Unos rashoda P4'!$S$3:$S$501,"=34")</f>
        <v>0</v>
      </c>
      <c r="L69" s="74">
        <f>SUMIFS('Unos rashoda i izdataka'!$L$3:$L$524,'Unos rashoda i izdataka'!$C$3:$C$524,"=559",'Unos rashoda i izdataka'!$P$3:$P$524,"=34")+SUMIFS('Unos rashoda P4'!$J$3:$J$501,'Unos rashoda P4'!$A$3:$A$501,"=559",'Unos rashoda P4'!$S$3:$S$501,"=34")</f>
        <v>0</v>
      </c>
      <c r="M69" s="74">
        <f>SUMIFS('Unos rashoda i izdataka'!$L$3:$L$524,'Unos rashoda i izdataka'!$C$3:$C$524,"=561",'Unos rashoda i izdataka'!$P$3:$P$524,"=34")+SUMIFS('Unos rashoda P4'!$J$3:$J$501,'Unos rashoda P4'!$A$3:$A$501,"=561",'Unos rashoda P4'!$S$3:$S$501,"=34")</f>
        <v>0</v>
      </c>
      <c r="N69" s="74">
        <f>SUMIFS('Unos rashoda i izdataka'!$L$3:$L$524,'Unos rashoda i izdataka'!$C$3:$C$524,"=563",'Unos rashoda i izdataka'!$P$3:$P$524,"=34")+SUMIFS('Unos rashoda P4'!$J$3:$J$501,'Unos rashoda P4'!$A$3:$A$501,"=563",'Unos rashoda P4'!$S$3:$S$501,"=34")</f>
        <v>0</v>
      </c>
      <c r="O69" s="74">
        <f>SUMIFS('Unos rashoda i izdataka'!$L$3:$L$524,'Unos rashoda i izdataka'!$C$3:$C$524,"=573",'Unos rashoda i izdataka'!$P$3:$P$524,"=34")+SUMIFS('Unos rashoda P4'!$J$3:$J$501,'Unos rashoda P4'!$A$3:$A$501,"=573",'Unos rashoda P4'!$S$3:$S$501,"=34")</f>
        <v>0</v>
      </c>
      <c r="P69" s="74">
        <f>SUMIFS('Unos rashoda i izdataka'!$L$3:$L$524,'Unos rashoda i izdataka'!$C$3:$C$524,"=575",'Unos rashoda i izdataka'!$P$3:$P$524,"=34")+SUMIFS('Unos rashoda P4'!$J$3:$J$501,'Unos rashoda P4'!$A$3:$A$501,"=575",'Unos rashoda P4'!$S$3:$S$501,"=34")</f>
        <v>0</v>
      </c>
      <c r="Q69" s="74">
        <f>SUMIFS('Unos rashoda i izdataka'!$L$3:$L$524,'Unos rashoda i izdataka'!$Q$3:$Q$524,"=576",'Unos rashoda i izdataka'!$P$3:$P$524,"=34")+SUMIFS('Unos rashoda P4'!$J$3:$J$501,'Unos rashoda P4'!$A$3:$A$501,"=576",'Unos rashoda P4'!$S$3:$S$501,"=34")</f>
        <v>0</v>
      </c>
      <c r="R69" s="74">
        <f>SUMIFS('Unos rashoda i izdataka'!$L$3:$L$524,'Unos rashoda i izdataka'!$C$3:$C$524,"=581",'Unos rashoda i izdataka'!$P$3:$P$524,"=34")+SUMIFS('Unos rashoda P4'!$J$3:$J$501,'Unos rashoda P4'!$A$3:$A$501,"=581",'Unos rashoda P4'!$S$3:$S$501,"=34")</f>
        <v>0</v>
      </c>
      <c r="S69" s="74">
        <f>SUMIFS('Unos rashoda i izdataka'!$L$3:$L$524,'Unos rashoda i izdataka'!$C$3:$C$524,"=61",'Unos rashoda i izdataka'!$P$3:$P$524,"=34")+SUMIFS('Unos rashoda P4'!$J$3:$J$501,'Unos rashoda P4'!$A$3:$A$501,"=61",'Unos rashoda P4'!$S$3:$S$501,"=34")</f>
        <v>0</v>
      </c>
      <c r="T69" s="74">
        <f>SUMIFS('Unos rashoda i izdataka'!$L$3:$L$524,'Unos rashoda i izdataka'!$C$3:$C$524,"=63",'Unos rashoda i izdataka'!$P$3:$P$524,"=34")+SUMIFS('Unos rashoda P4'!$J$3:$J$501,'Unos rashoda P4'!$A$3:$A$501,"=63",'Unos rashoda P4'!$S$3:$S$501,"=34")</f>
        <v>0</v>
      </c>
      <c r="U69" s="74">
        <f>SUMIFS('Unos rashoda i izdataka'!$L$3:$L$524,'Unos rashoda i izdataka'!$C$3:$C$524,"=71",'Unos rashoda i izdataka'!$P$3:$P$524,"=34")+SUMIFS('Unos rashoda P4'!$J$3:$J$501,'Unos rashoda P4'!$A$3:$A$501,"=71",'Unos rashoda P4'!$S$3:$S$501,"=34")</f>
        <v>0</v>
      </c>
      <c r="V69" s="74">
        <f>SUMIFS('Unos rashoda i izdataka'!$L$3:$L$524,'Unos rashoda i izdataka'!$C$3:$C$524,"=81",'Unos rashoda i izdataka'!$P$3:$P$524,"=34")+SUMIFS('Unos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izdataka'!$L$3:$L$524,'Unos rashoda i izdataka'!$C$3:$C$524,"=11",'Unos rashoda i izdataka'!$P$3:$P$524,"=35")+SUMIFS('Unos rashoda P4'!$J$3:$J$501,'Unos rashoda P4'!$A$3:$A$501,"=11",'Unos rashoda P4'!$S$3:$S$501,"=35")</f>
        <v>0</v>
      </c>
      <c r="E70" s="74">
        <f>SUMIFS('Unos rashoda i izdataka'!$L$3:$L$524,'Unos rashoda i izdataka'!$C$3:$C$524,"=12",'Unos rashoda i izdataka'!$P$3:$P$524,"=35")+SUMIFS('Unos rashoda P4'!$J$3:$J$501,'Unos rashoda P4'!$A$3:$A$501,"=12",'Unos rashoda P4'!$S$3:$S$501,"=35")</f>
        <v>0</v>
      </c>
      <c r="F70" s="74">
        <f>SUMIFS('Unos rashoda i izdataka'!$L$3:$L$524,'Unos rashoda i izdataka'!$C$3:$C$524,"=31",'Unos rashoda i izdataka'!$P$3:$P$524,"=35")+SUMIFS('Unos rashoda P4'!$J$3:$J$501,'Unos rashoda P4'!$A$3:$A$501,"=31",'Unos rashoda P4'!$S$3:$S$501,"=35")</f>
        <v>0</v>
      </c>
      <c r="G70" s="74">
        <f>SUMIFS('Unos rashoda i izdataka'!$L$3:$L$524,'Unos rashoda i izdataka'!$C$3:$C$524,"=41",'Unos rashoda i izdataka'!$P$3:$P$524,"=35")+SUMIFS('Unos rashoda P4'!$J$3:$J$501,'Unos rashoda P4'!$A$3:$A$501,"=41",'Unos rashoda P4'!$S$3:$S$501,"=35")</f>
        <v>0</v>
      </c>
      <c r="H70" s="74">
        <f>SUMIFS('Unos rashoda i izdataka'!$L$3:$L$524,'Unos rashoda i izdataka'!$C$3:$C$524,"=43",'Unos rashoda i izdataka'!$P$3:$P$524,"=35")+SUMIFS('Unos rashoda P4'!$J$3:$J$501,'Unos rashoda P4'!$A$3:$A$501,"=43",'Unos rashoda P4'!$S$3:$S$501,"=35")</f>
        <v>0</v>
      </c>
      <c r="I70" s="74">
        <f>SUMIFS('Unos rashoda i izdataka'!$L$3:$L$524,'Unos rashoda i izdataka'!$C$3:$C$524,"=51",'Unos rashoda i izdataka'!$P$3:$P$524,"=35")+SUMIFS('Unos rashoda P4'!$J$3:$J$501,'Unos rashoda P4'!$A$3:$A$501,"=51",'Unos rashoda P4'!$S$3:$S$501,"=35")</f>
        <v>0</v>
      </c>
      <c r="J70" s="74">
        <f>SUMIFS('Unos rashoda i izdataka'!$L$3:$L$524,'Unos rashoda i izdataka'!$C$3:$C$524,"=52",'Unos rashoda i izdataka'!$P$3:$P$524,"=35")+SUMIFS('Unos rashoda P4'!$J$3:$J$501,'Unos rashoda P4'!$A$3:$A$501,"=52",'Unos rashoda P4'!$S$3:$S$501,"=35")</f>
        <v>0</v>
      </c>
      <c r="K70" s="74">
        <f>SUMIFS('Unos rashoda i izdataka'!$L$3:$L$524,'Unos rashoda i izdataka'!$C$3:$C$524,"=552",'Unos rashoda i izdataka'!$P$3:$P$524,"=35")+SUMIFS('Unos rashoda P4'!$J$3:$J$501,'Unos rashoda P4'!$A$3:$A$501,"=552",'Unos rashoda P4'!$S$3:$S$501,"=35")</f>
        <v>0</v>
      </c>
      <c r="L70" s="74">
        <f>SUMIFS('Unos rashoda i izdataka'!$L$3:$L$524,'Unos rashoda i izdataka'!$C$3:$C$524,"=559",'Unos rashoda i izdataka'!$P$3:$P$524,"=35")+SUMIFS('Unos rashoda P4'!$J$3:$J$501,'Unos rashoda P4'!$A$3:$A$501,"=559",'Unos rashoda P4'!$S$3:$S$501,"=35")</f>
        <v>0</v>
      </c>
      <c r="M70" s="74">
        <f>SUMIFS('Unos rashoda i izdataka'!$L$3:$L$524,'Unos rashoda i izdataka'!$C$3:$C$524,"=561",'Unos rashoda i izdataka'!$P$3:$P$524,"=35")+SUMIFS('Unos rashoda P4'!$J$3:$J$501,'Unos rashoda P4'!$A$3:$A$501,"=561",'Unos rashoda P4'!$S$3:$S$501,"=35")</f>
        <v>0</v>
      </c>
      <c r="N70" s="74">
        <f>SUMIFS('Unos rashoda i izdataka'!$L$3:$L$524,'Unos rashoda i izdataka'!$C$3:$C$524,"=563",'Unos rashoda i izdataka'!$P$3:$P$524,"=35")+SUMIFS('Unos rashoda P4'!$J$3:$J$501,'Unos rashoda P4'!$A$3:$A$501,"=563",'Unos rashoda P4'!$S$3:$S$501,"=35")</f>
        <v>0</v>
      </c>
      <c r="O70" s="74">
        <f>SUMIFS('Unos rashoda i izdataka'!$L$3:$L$524,'Unos rashoda i izdataka'!$C$3:$C$524,"=573",'Unos rashoda i izdataka'!$P$3:$P$524,"=35")+SUMIFS('Unos rashoda P4'!$J$3:$J$501,'Unos rashoda P4'!$A$3:$A$501,"=573",'Unos rashoda P4'!$S$3:$S$501,"=35")</f>
        <v>0</v>
      </c>
      <c r="P70" s="74">
        <f>SUMIFS('Unos rashoda i izdataka'!$L$3:$L$524,'Unos rashoda i izdataka'!$C$3:$C$524,"=575",'Unos rashoda i izdataka'!$P$3:$P$524,"=35")+SUMIFS('Unos rashoda P4'!$J$3:$J$501,'Unos rashoda P4'!$A$3:$A$501,"=575",'Unos rashoda P4'!$S$3:$S$501,"=35")</f>
        <v>0</v>
      </c>
      <c r="Q70" s="74">
        <f>SUMIFS('Unos rashoda i izdataka'!$L$3:$L$524,'Unos rashoda i izdataka'!$Q$3:$Q$524,"=576",'Unos rashoda i izdataka'!$P$3:$P$524,"=35")+SUMIFS('Unos rashoda P4'!$J$3:$J$501,'Unos rashoda P4'!$A$3:$A$501,"=576",'Unos rashoda P4'!$S$3:$S$501,"=35")</f>
        <v>0</v>
      </c>
      <c r="R70" s="74">
        <f>SUMIFS('Unos rashoda i izdataka'!$L$3:$L$524,'Unos rashoda i izdataka'!$C$3:$C$524,"=581",'Unos rashoda i izdataka'!$P$3:$P$524,"=35")+SUMIFS('Unos rashoda P4'!$J$3:$J$501,'Unos rashoda P4'!$A$3:$A$501,"=581",'Unos rashoda P4'!$S$3:$S$501,"=35")</f>
        <v>0</v>
      </c>
      <c r="S70" s="74">
        <f>SUMIFS('Unos rashoda i izdataka'!$L$3:$L$524,'Unos rashoda i izdataka'!$C$3:$C$524,"=61",'Unos rashoda i izdataka'!$P$3:$P$524,"=35")+SUMIFS('Unos rashoda P4'!$J$3:$J$501,'Unos rashoda P4'!$A$3:$A$501,"=61",'Unos rashoda P4'!$S$3:$S$501,"=35")</f>
        <v>0</v>
      </c>
      <c r="T70" s="74">
        <f>SUMIFS('Unos rashoda i izdataka'!$L$3:$L$524,'Unos rashoda i izdataka'!$C$3:$C$524,"=63",'Unos rashoda i izdataka'!$P$3:$P$524,"=35")+SUMIFS('Unos rashoda P4'!$J$3:$J$501,'Unos rashoda P4'!$A$3:$A$501,"=63",'Unos rashoda P4'!$S$3:$S$501,"=35")</f>
        <v>0</v>
      </c>
      <c r="U70" s="74">
        <f>SUMIFS('Unos rashoda i izdataka'!$L$3:$L$524,'Unos rashoda i izdataka'!$C$3:$C$524,"=71",'Unos rashoda i izdataka'!$P$3:$P$524,"=35")+SUMIFS('Unos rashoda P4'!$J$3:$J$501,'Unos rashoda P4'!$A$3:$A$501,"=71",'Unos rashoda P4'!$S$3:$S$501,"=35")</f>
        <v>0</v>
      </c>
      <c r="V70" s="74">
        <f>SUMIFS('Unos rashoda i izdataka'!$L$3:$L$524,'Unos rashoda i izdataka'!$C$3:$C$524,"=81",'Unos rashoda i izdataka'!$P$3:$P$524,"=35")+SUMIFS('Unos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0</v>
      </c>
      <c r="D71" s="74">
        <f>SUMIFS('Unos rashoda i izdataka'!$L$3:$L$524,'Unos rashoda i izdataka'!$C$3:$C$524,"=11",'Unos rashoda i izdataka'!$P$3:$P$524,"=36")+SUMIFS('Unos rashoda P4'!$J$3:$J$501,'Unos rashoda P4'!$A$3:$A$501,"=11",'Unos rashoda P4'!$S$3:$S$501,"=36")</f>
        <v>0</v>
      </c>
      <c r="E71" s="74">
        <f>SUMIFS('Unos rashoda i izdataka'!$L$3:$L$524,'Unos rashoda i izdataka'!$C$3:$C$524,"=12",'Unos rashoda i izdataka'!$P$3:$P$524,"=36")+SUMIFS('Unos rashoda P4'!$J$3:$J$501,'Unos rashoda P4'!$A$3:$A$501,"=12",'Unos rashoda P4'!$S$3:$S$501,"=36")</f>
        <v>0</v>
      </c>
      <c r="F71" s="74">
        <f>SUMIFS('Unos rashoda i izdataka'!$L$3:$L$524,'Unos rashoda i izdataka'!$C$3:$C$524,"=31",'Unos rashoda i izdataka'!$P$3:$P$524,"=36")+SUMIFS('Unos rashoda P4'!$J$3:$J$501,'Unos rashoda P4'!$A$3:$A$501,"=31",'Unos rashoda P4'!$S$3:$S$501,"=36")</f>
        <v>0</v>
      </c>
      <c r="G71" s="74">
        <f>SUMIFS('Unos rashoda i izdataka'!$L$3:$L$524,'Unos rashoda i izdataka'!$C$3:$C$524,"=41",'Unos rashoda i izdataka'!$P$3:$P$524,"=36")+SUMIFS('Unos rashoda P4'!$J$3:$J$501,'Unos rashoda P4'!$A$3:$A$501,"=41",'Unos rashoda P4'!$S$3:$S$501,"=36")</f>
        <v>0</v>
      </c>
      <c r="H71" s="74">
        <f>SUMIFS('Unos rashoda i izdataka'!$L$3:$L$524,'Unos rashoda i izdataka'!$C$3:$C$524,"=43",'Unos rashoda i izdataka'!$P$3:$P$524,"=36")+SUMIFS('Unos rashoda P4'!$J$3:$J$501,'Unos rashoda P4'!$A$3:$A$501,"=43",'Unos rashoda P4'!$S$3:$S$501,"=36")</f>
        <v>0</v>
      </c>
      <c r="I71" s="74">
        <f>SUMIFS('Unos rashoda i izdataka'!$L$3:$L$524,'Unos rashoda i izdataka'!$C$3:$C$524,"=51",'Unos rashoda i izdataka'!$P$3:$P$524,"=36")+SUMIFS('Unos rashoda P4'!$J$3:$J$501,'Unos rashoda P4'!$A$3:$A$501,"=51",'Unos rashoda P4'!$S$3:$S$501,"=36")</f>
        <v>0</v>
      </c>
      <c r="J71" s="74">
        <f>SUMIFS('Unos rashoda i izdataka'!$L$3:$L$524,'Unos rashoda i izdataka'!$C$3:$C$524,"=52",'Unos rashoda i izdataka'!$P$3:$P$524,"=36")+SUMIFS('Unos rashoda P4'!$J$3:$J$501,'Unos rashoda P4'!$A$3:$A$501,"=52",'Unos rashoda P4'!$S$3:$S$501,"=36")</f>
        <v>0</v>
      </c>
      <c r="K71" s="74">
        <f>SUMIFS('Unos rashoda i izdataka'!$L$3:$L$524,'Unos rashoda i izdataka'!$C$3:$C$524,"=552",'Unos rashoda i izdataka'!$P$3:$P$524,"=36")+SUMIFS('Unos rashoda P4'!$J$3:$J$501,'Unos rashoda P4'!$A$3:$A$501,"=552",'Unos rashoda P4'!$S$3:$S$501,"=36")</f>
        <v>0</v>
      </c>
      <c r="L71" s="74">
        <f>SUMIFS('Unos rashoda i izdataka'!$L$3:$L$524,'Unos rashoda i izdataka'!$C$3:$C$524,"=559",'Unos rashoda i izdataka'!$P$3:$P$524,"=36")+SUMIFS('Unos rashoda P4'!$J$3:$J$501,'Unos rashoda P4'!$A$3:$A$501,"=559",'Unos rashoda P4'!$S$3:$S$501,"=36")</f>
        <v>0</v>
      </c>
      <c r="M71" s="74">
        <f>SUMIFS('Unos rashoda i izdataka'!$L$3:$L$524,'Unos rashoda i izdataka'!$C$3:$C$524,"=561",'Unos rashoda i izdataka'!$P$3:$P$524,"=36")+SUMIFS('Unos rashoda P4'!$J$3:$J$501,'Unos rashoda P4'!$A$3:$A$501,"=561",'Unos rashoda P4'!$S$3:$S$501,"=36")</f>
        <v>0</v>
      </c>
      <c r="N71" s="74">
        <f>SUMIFS('Unos rashoda i izdataka'!$L$3:$L$524,'Unos rashoda i izdataka'!$C$3:$C$524,"=563",'Unos rashoda i izdataka'!$P$3:$P$524,"=36")+SUMIFS('Unos rashoda P4'!$J$3:$J$501,'Unos rashoda P4'!$A$3:$A$501,"=563",'Unos rashoda P4'!$S$3:$S$501,"=36")</f>
        <v>0</v>
      </c>
      <c r="O71" s="74">
        <f>SUMIFS('Unos rashoda i izdataka'!$L$3:$L$524,'Unos rashoda i izdataka'!$C$3:$C$524,"=573",'Unos rashoda i izdataka'!$P$3:$P$524,"=36")+SUMIFS('Unos rashoda P4'!$J$3:$J$501,'Unos rashoda P4'!$A$3:$A$501,"=573",'Unos rashoda P4'!$S$3:$S$501,"=36")</f>
        <v>0</v>
      </c>
      <c r="P71" s="74">
        <f>SUMIFS('Unos rashoda i izdataka'!$L$3:$L$524,'Unos rashoda i izdataka'!$C$3:$C$524,"=575",'Unos rashoda i izdataka'!$P$3:$P$524,"=36")+SUMIFS('Unos rashoda P4'!$J$3:$J$501,'Unos rashoda P4'!$A$3:$A$501,"=575",'Unos rashoda P4'!$S$3:$S$501,"=36")</f>
        <v>0</v>
      </c>
      <c r="Q71" s="74">
        <f>SUMIFS('Unos rashoda i izdataka'!$L$3:$L$524,'Unos rashoda i izdataka'!$Q$3:$Q$524,"=576",'Unos rashoda i izdataka'!$P$3:$P$524,"=36")+SUMIFS('Unos rashoda P4'!$J$3:$J$501,'Unos rashoda P4'!$A$3:$A$501,"=576",'Unos rashoda P4'!$S$3:$S$501,"=36")</f>
        <v>0</v>
      </c>
      <c r="R71" s="74">
        <f>SUMIFS('Unos rashoda i izdataka'!$L$3:$L$524,'Unos rashoda i izdataka'!$C$3:$C$524,"=581",'Unos rashoda i izdataka'!$P$3:$P$524,"=36")+SUMIFS('Unos rashoda P4'!$J$3:$J$501,'Unos rashoda P4'!$A$3:$A$501,"=581",'Unos rashoda P4'!$S$3:$S$501,"=36")</f>
        <v>0</v>
      </c>
      <c r="S71" s="74">
        <f>SUMIFS('Unos rashoda i izdataka'!$L$3:$L$524,'Unos rashoda i izdataka'!$C$3:$C$524,"=61",'Unos rashoda i izdataka'!$P$3:$P$524,"=36")+SUMIFS('Unos rashoda P4'!$J$3:$J$501,'Unos rashoda P4'!$A$3:$A$501,"=61",'Unos rashoda P4'!$S$3:$S$501,"=36")</f>
        <v>0</v>
      </c>
      <c r="T71" s="74">
        <f>SUMIFS('Unos rashoda i izdataka'!$L$3:$L$524,'Unos rashoda i izdataka'!$C$3:$C$524,"=63",'Unos rashoda i izdataka'!$P$3:$P$524,"=36")+SUMIFS('Unos rashoda P4'!$J$3:$J$501,'Unos rashoda P4'!$A$3:$A$501,"=63",'Unos rashoda P4'!$S$3:$S$501,"=36")</f>
        <v>0</v>
      </c>
      <c r="U71" s="74">
        <f>SUMIFS('Unos rashoda i izdataka'!$L$3:$L$524,'Unos rashoda i izdataka'!$C$3:$C$524,"=71",'Unos rashoda i izdataka'!$P$3:$P$524,"=36")+SUMIFS('Unos rashoda P4'!$J$3:$J$501,'Unos rashoda P4'!$A$3:$A$501,"=71",'Unos rashoda P4'!$S$3:$S$501,"=36")</f>
        <v>0</v>
      </c>
      <c r="V71" s="74">
        <f>SUMIFS('Unos rashoda i izdataka'!$L$3:$L$524,'Unos rashoda i izdataka'!$C$3:$C$524,"=81",'Unos rashoda i izdataka'!$P$3:$P$524,"=36")+SUMIFS('Unos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3985</v>
      </c>
      <c r="D72" s="74">
        <f>SUMIFS('Unos rashoda i izdataka'!$L$3:$L$524,'Unos rashoda i izdataka'!$C$3:$C$524,"=11",'Unos rashoda i izdataka'!$P$3:$P$524,"=37")+SUMIFS('Unos rashoda P4'!$J$3:$J$501,'Unos rashoda P4'!$A$3:$A$501,"=11",'Unos rashoda P4'!$S$3:$S$501,"=37")</f>
        <v>3985</v>
      </c>
      <c r="E72" s="74">
        <f>SUMIFS('Unos rashoda i izdataka'!$L$3:$L$524,'Unos rashoda i izdataka'!$C$3:$C$524,"=12",'Unos rashoda i izdataka'!$P$3:$P$524,"=37")+SUMIFS('Unos rashoda P4'!$J$3:$J$501,'Unos rashoda P4'!$A$3:$A$501,"=12",'Unos rashoda P4'!$S$3:$S$501,"=37")</f>
        <v>0</v>
      </c>
      <c r="F72" s="74">
        <f>SUMIFS('Unos rashoda i izdataka'!$L$3:$L$524,'Unos rashoda i izdataka'!$C$3:$C$524,"=31",'Unos rashoda i izdataka'!$P$3:$P$524,"=37")+SUMIFS('Unos rashoda P4'!$J$3:$J$501,'Unos rashoda P4'!$A$3:$A$501,"=31",'Unos rashoda P4'!$S$3:$S$501,"=37")</f>
        <v>0</v>
      </c>
      <c r="G72" s="74">
        <f>SUMIFS('Unos rashoda i izdataka'!$L$3:$L$524,'Unos rashoda i izdataka'!$C$3:$C$524,"=41",'Unos rashoda i izdataka'!$P$3:$P$524,"=37")+SUMIFS('Unos rashoda P4'!$J$3:$J$501,'Unos rashoda P4'!$A$3:$A$501,"=41",'Unos rashoda P4'!$S$3:$S$501,"=37")</f>
        <v>0</v>
      </c>
      <c r="H72" s="74">
        <f>SUMIFS('Unos rashoda i izdataka'!$L$3:$L$524,'Unos rashoda i izdataka'!$C$3:$C$524,"=43",'Unos rashoda i izdataka'!$P$3:$P$524,"=37")+SUMIFS('Unos rashoda P4'!$J$3:$J$501,'Unos rashoda P4'!$A$3:$A$501,"=43",'Unos rashoda P4'!$S$3:$S$501,"=37")</f>
        <v>0</v>
      </c>
      <c r="I72" s="74">
        <f>SUMIFS('Unos rashoda i izdataka'!$L$3:$L$524,'Unos rashoda i izdataka'!$C$3:$C$524,"=51",'Unos rashoda i izdataka'!$P$3:$P$524,"=37")+SUMIFS('Unos rashoda P4'!$J$3:$J$501,'Unos rashoda P4'!$A$3:$A$501,"=51",'Unos rashoda P4'!$S$3:$S$501,"=37")</f>
        <v>0</v>
      </c>
      <c r="J72" s="74">
        <f>SUMIFS('Unos rashoda i izdataka'!$L$3:$L$524,'Unos rashoda i izdataka'!$C$3:$C$524,"=52",'Unos rashoda i izdataka'!$P$3:$P$524,"=37")+SUMIFS('Unos rashoda P4'!$J$3:$J$501,'Unos rashoda P4'!$A$3:$A$501,"=52",'Unos rashoda P4'!$S$3:$S$501,"=37")</f>
        <v>0</v>
      </c>
      <c r="K72" s="74">
        <f>SUMIFS('Unos rashoda i izdataka'!$L$3:$L$524,'Unos rashoda i izdataka'!$C$3:$C$524,"=552",'Unos rashoda i izdataka'!$P$3:$P$524,"=37")+SUMIFS('Unos rashoda P4'!$J$3:$J$501,'Unos rashoda P4'!$A$3:$A$501,"=552",'Unos rashoda P4'!$S$3:$S$501,"=37")</f>
        <v>0</v>
      </c>
      <c r="L72" s="74">
        <f>SUMIFS('Unos rashoda i izdataka'!$L$3:$L$524,'Unos rashoda i izdataka'!$C$3:$C$524,"=559",'Unos rashoda i izdataka'!$P$3:$P$524,"=37")+SUMIFS('Unos rashoda P4'!$J$3:$J$501,'Unos rashoda P4'!$A$3:$A$501,"=559",'Unos rashoda P4'!$S$3:$S$501,"=37")</f>
        <v>0</v>
      </c>
      <c r="M72" s="74">
        <f>SUMIFS('Unos rashoda i izdataka'!$L$3:$L$524,'Unos rashoda i izdataka'!$C$3:$C$524,"=561",'Unos rashoda i izdataka'!$P$3:$P$524,"=37")+SUMIFS('Unos rashoda P4'!$J$3:$J$501,'Unos rashoda P4'!$A$3:$A$501,"=561",'Unos rashoda P4'!$S$3:$S$501,"=37")</f>
        <v>0</v>
      </c>
      <c r="N72" s="74">
        <f>SUMIFS('Unos rashoda i izdataka'!$L$3:$L$524,'Unos rashoda i izdataka'!$C$3:$C$524,"=563",'Unos rashoda i izdataka'!$P$3:$P$524,"=37")+SUMIFS('Unos rashoda P4'!$J$3:$J$501,'Unos rashoda P4'!$A$3:$A$501,"=563",'Unos rashoda P4'!$S$3:$S$501,"=37")</f>
        <v>0</v>
      </c>
      <c r="O72" s="74">
        <f>SUMIFS('Unos rashoda i izdataka'!$L$3:$L$524,'Unos rashoda i izdataka'!$C$3:$C$524,"=573",'Unos rashoda i izdataka'!$P$3:$P$524,"=37")+SUMIFS('Unos rashoda P4'!$J$3:$J$501,'Unos rashoda P4'!$A$3:$A$501,"=573",'Unos rashoda P4'!$S$3:$S$501,"=37")</f>
        <v>0</v>
      </c>
      <c r="P72" s="74">
        <f>SUMIFS('Unos rashoda i izdataka'!$L$3:$L$524,'Unos rashoda i izdataka'!$C$3:$C$524,"=575",'Unos rashoda i izdataka'!$P$3:$P$524,"=37")+SUMIFS('Unos rashoda P4'!$J$3:$J$501,'Unos rashoda P4'!$A$3:$A$501,"=575",'Unos rashoda P4'!$S$3:$S$501,"=37")</f>
        <v>0</v>
      </c>
      <c r="Q72" s="74">
        <f>SUMIFS('Unos rashoda i izdataka'!$L$3:$L$524,'Unos rashoda i izdataka'!$Q$3:$Q$524,"=576",'Unos rashoda i izdataka'!$P$3:$P$524,"=37")+SUMIFS('Unos rashoda P4'!$J$3:$J$501,'Unos rashoda P4'!$A$3:$A$501,"=576",'Unos rashoda P4'!$S$3:$S$501,"=37")</f>
        <v>0</v>
      </c>
      <c r="R72" s="74">
        <f>SUMIFS('Unos rashoda i izdataka'!$L$3:$L$524,'Unos rashoda i izdataka'!$C$3:$C$524,"=581",'Unos rashoda i izdataka'!$P$3:$P$524,"=37")+SUMIFS('Unos rashoda P4'!$J$3:$J$501,'Unos rashoda P4'!$A$3:$A$501,"=581",'Unos rashoda P4'!$S$3:$S$501,"=37")</f>
        <v>0</v>
      </c>
      <c r="S72" s="74">
        <f>SUMIFS('Unos rashoda i izdataka'!$L$3:$L$524,'Unos rashoda i izdataka'!$C$3:$C$524,"=61",'Unos rashoda i izdataka'!$P$3:$P$524,"=37")+SUMIFS('Unos rashoda P4'!$J$3:$J$501,'Unos rashoda P4'!$A$3:$A$501,"=61",'Unos rashoda P4'!$S$3:$S$501,"=37")</f>
        <v>0</v>
      </c>
      <c r="T72" s="74">
        <f>SUMIFS('Unos rashoda i izdataka'!$L$3:$L$524,'Unos rashoda i izdataka'!$C$3:$C$524,"=63",'Unos rashoda i izdataka'!$P$3:$P$524,"=37")+SUMIFS('Unos rashoda P4'!$J$3:$J$501,'Unos rashoda P4'!$A$3:$A$501,"=63",'Unos rashoda P4'!$S$3:$S$501,"=37")</f>
        <v>0</v>
      </c>
      <c r="U72" s="74">
        <f>SUMIFS('Unos rashoda i izdataka'!$L$3:$L$524,'Unos rashoda i izdataka'!$C$3:$C$524,"=71",'Unos rashoda i izdataka'!$P$3:$P$524,"=37")+SUMIFS('Unos rashoda P4'!$J$3:$J$501,'Unos rashoda P4'!$A$3:$A$501,"=71",'Unos rashoda P4'!$S$3:$S$501,"=37")</f>
        <v>0</v>
      </c>
      <c r="V72" s="74">
        <f>SUMIFS('Unos rashoda i izdataka'!$L$3:$L$524,'Unos rashoda i izdataka'!$C$3:$C$524,"=81",'Unos rashoda i izdataka'!$P$3:$P$524,"=37")+SUMIFS('Unos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0</v>
      </c>
      <c r="D73" s="74">
        <f>SUMIFS('Unos rashoda i izdataka'!$L$3:$L$524,'Unos rashoda i izdataka'!$C$3:$C$524,"=11",'Unos rashoda i izdataka'!$P$3:$P$524,"=38")+SUMIFS('Unos rashoda P4'!$J$3:$J$501,'Unos rashoda P4'!$A$3:$A$501,"=11",'Unos rashoda P4'!$S$3:$S$501,"=38")</f>
        <v>0</v>
      </c>
      <c r="E73" s="74">
        <f>SUMIFS('Unos rashoda i izdataka'!$L$3:$L$524,'Unos rashoda i izdataka'!$C$3:$C$524,"=12",'Unos rashoda i izdataka'!$P$3:$P$524,"=38")+SUMIFS('Unos rashoda P4'!$J$3:$J$501,'Unos rashoda P4'!$A$3:$A$501,"=12",'Unos rashoda P4'!$S$3:$S$501,"=38")</f>
        <v>0</v>
      </c>
      <c r="F73" s="74">
        <f>SUMIFS('Unos rashoda i izdataka'!$L$3:$L$524,'Unos rashoda i izdataka'!$C$3:$C$524,"=31",'Unos rashoda i izdataka'!$P$3:$P$524,"=38")+SUMIFS('Unos rashoda P4'!$J$3:$J$501,'Unos rashoda P4'!$A$3:$A$501,"=31",'Unos rashoda P4'!$S$3:$S$501,"=38")</f>
        <v>0</v>
      </c>
      <c r="G73" s="74">
        <f>SUMIFS('Unos rashoda i izdataka'!$L$3:$L$524,'Unos rashoda i izdataka'!$C$3:$C$524,"=41",'Unos rashoda i izdataka'!$P$3:$P$524,"=38")+SUMIFS('Unos rashoda P4'!$J$3:$J$501,'Unos rashoda P4'!$A$3:$A$501,"=41",'Unos rashoda P4'!$S$3:$S$501,"=38")</f>
        <v>0</v>
      </c>
      <c r="H73" s="74">
        <f>SUMIFS('Unos rashoda i izdataka'!$L$3:$L$524,'Unos rashoda i izdataka'!$C$3:$C$524,"=43",'Unos rashoda i izdataka'!$P$3:$P$524,"=38")+SUMIFS('Unos rashoda P4'!$J$3:$J$501,'Unos rashoda P4'!$A$3:$A$501,"=43",'Unos rashoda P4'!$S$3:$S$501,"=38")</f>
        <v>0</v>
      </c>
      <c r="I73" s="74">
        <f>SUMIFS('Unos rashoda i izdataka'!$L$3:$L$524,'Unos rashoda i izdataka'!$C$3:$C$524,"=51",'Unos rashoda i izdataka'!$P$3:$P$524,"=38")+SUMIFS('Unos rashoda P4'!$J$3:$J$501,'Unos rashoda P4'!$A$3:$A$501,"=51",'Unos rashoda P4'!$S$3:$S$501,"=38")</f>
        <v>0</v>
      </c>
      <c r="J73" s="74">
        <f>SUMIFS('Unos rashoda i izdataka'!$L$3:$L$524,'Unos rashoda i izdataka'!$C$3:$C$524,"=52",'Unos rashoda i izdataka'!$P$3:$P$524,"=38")+SUMIFS('Unos rashoda P4'!$J$3:$J$501,'Unos rashoda P4'!$A$3:$A$501,"=52",'Unos rashoda P4'!$S$3:$S$501,"=38")</f>
        <v>0</v>
      </c>
      <c r="K73" s="74">
        <f>SUMIFS('Unos rashoda i izdataka'!$L$3:$L$524,'Unos rashoda i izdataka'!$C$3:$C$524,"=552",'Unos rashoda i izdataka'!$P$3:$P$524,"=38")+SUMIFS('Unos rashoda P4'!$J$3:$J$501,'Unos rashoda P4'!$A$3:$A$501,"=552",'Unos rashoda P4'!$S$3:$S$501,"=38")</f>
        <v>0</v>
      </c>
      <c r="L73" s="74">
        <f>SUMIFS('Unos rashoda i izdataka'!$L$3:$L$524,'Unos rashoda i izdataka'!$C$3:$C$524,"=559",'Unos rashoda i izdataka'!$P$3:$P$524,"=38")+SUMIFS('Unos rashoda P4'!$J$3:$J$501,'Unos rashoda P4'!$A$3:$A$501,"=559",'Unos rashoda P4'!$S$3:$S$501,"=38")</f>
        <v>0</v>
      </c>
      <c r="M73" s="74">
        <f>SUMIFS('Unos rashoda i izdataka'!$L$3:$L$524,'Unos rashoda i izdataka'!$C$3:$C$524,"=561",'Unos rashoda i izdataka'!$P$3:$P$524,"=38")+SUMIFS('Unos rashoda P4'!$J$3:$J$501,'Unos rashoda P4'!$A$3:$A$501,"=561",'Unos rashoda P4'!$S$3:$S$501,"=38")</f>
        <v>0</v>
      </c>
      <c r="N73" s="74">
        <f>SUMIFS('Unos rashoda i izdataka'!$L$3:$L$524,'Unos rashoda i izdataka'!$C$3:$C$524,"=563",'Unos rashoda i izdataka'!$P$3:$P$524,"=38")+SUMIFS('Unos rashoda P4'!$J$3:$J$501,'Unos rashoda P4'!$A$3:$A$501,"=563",'Unos rashoda P4'!$S$3:$S$501,"=38")</f>
        <v>0</v>
      </c>
      <c r="O73" s="74">
        <f>SUMIFS('Unos rashoda i izdataka'!$L$3:$L$524,'Unos rashoda i izdataka'!$C$3:$C$524,"=573",'Unos rashoda i izdataka'!$P$3:$P$524,"=38")+SUMIFS('Unos rashoda P4'!$J$3:$J$501,'Unos rashoda P4'!$A$3:$A$501,"=573",'Unos rashoda P4'!$S$3:$S$501,"=38")</f>
        <v>0</v>
      </c>
      <c r="P73" s="74">
        <f>SUMIFS('Unos rashoda i izdataka'!$L$3:$L$524,'Unos rashoda i izdataka'!$C$3:$C$524,"=575",'Unos rashoda i izdataka'!$P$3:$P$524,"=38")+SUMIFS('Unos rashoda P4'!$J$3:$J$501,'Unos rashoda P4'!$A$3:$A$501,"=575",'Unos rashoda P4'!$S$3:$S$501,"=38")</f>
        <v>0</v>
      </c>
      <c r="Q73" s="74">
        <f>SUMIFS('Unos rashoda i izdataka'!$L$3:$L$524,'Unos rashoda i izdataka'!$Q$3:$Q$524,"=576",'Unos rashoda i izdataka'!$P$3:$P$524,"=38")+SUMIFS('Unos rashoda P4'!$J$3:$J$501,'Unos rashoda P4'!$A$3:$A$501,"=576",'Unos rashoda P4'!$S$3:$S$501,"=38")</f>
        <v>0</v>
      </c>
      <c r="R73" s="74">
        <f>SUMIFS('Unos rashoda i izdataka'!$L$3:$L$524,'Unos rashoda i izdataka'!$C$3:$C$524,"=581",'Unos rashoda i izdataka'!$P$3:$P$524,"=38")+SUMIFS('Unos rashoda P4'!$J$3:$J$501,'Unos rashoda P4'!$A$3:$A$501,"=581",'Unos rashoda P4'!$S$3:$S$501,"=38")</f>
        <v>0</v>
      </c>
      <c r="S73" s="74">
        <f>SUMIFS('Unos rashoda i izdataka'!$L$3:$L$524,'Unos rashoda i izdataka'!$C$3:$C$524,"=61",'Unos rashoda i izdataka'!$P$3:$P$524,"=38")+SUMIFS('Unos rashoda P4'!$J$3:$J$501,'Unos rashoda P4'!$A$3:$A$501,"=61",'Unos rashoda P4'!$S$3:$S$501,"=38")</f>
        <v>0</v>
      </c>
      <c r="T73" s="74">
        <f>SUMIFS('Unos rashoda i izdataka'!$L$3:$L$524,'Unos rashoda i izdataka'!$C$3:$C$524,"=63",'Unos rashoda i izdataka'!$P$3:$P$524,"=38")+SUMIFS('Unos rashoda P4'!$J$3:$J$501,'Unos rashoda P4'!$A$3:$A$501,"=63",'Unos rashoda P4'!$S$3:$S$501,"=38")</f>
        <v>0</v>
      </c>
      <c r="U73" s="74">
        <f>SUMIFS('Unos rashoda i izdataka'!$L$3:$L$524,'Unos rashoda i izdataka'!$C$3:$C$524,"=71",'Unos rashoda i izdataka'!$P$3:$P$524,"=38")+SUMIFS('Unos rashoda P4'!$J$3:$J$501,'Unos rashoda P4'!$A$3:$A$501,"=71",'Unos rashoda P4'!$S$3:$S$501,"=38")</f>
        <v>0</v>
      </c>
      <c r="V73" s="74">
        <f>SUMIFS('Unos rashoda i izdataka'!$L$3:$L$524,'Unos rashoda i izdataka'!$C$3:$C$524,"=81",'Unos rashoda i izdataka'!$P$3:$P$524,"=38")+SUMIFS('Unos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45359</v>
      </c>
      <c r="D74" s="69">
        <f>+D75+D76+D77+D78+D79</f>
        <v>21421</v>
      </c>
      <c r="E74" s="69">
        <f t="shared" ref="E74" si="47">+E75+E76+E77+E78+E79</f>
        <v>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23938</v>
      </c>
      <c r="I74" s="69">
        <f t="shared" ref="I74" si="51">+I75+I76+I77+I78+I79</f>
        <v>0</v>
      </c>
      <c r="J74" s="69">
        <f t="shared" ref="J74" si="52">+J75+J76+J77+J78+J79</f>
        <v>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izdataka'!$L$3:$L$524,'Unos rashoda i izdataka'!$C$3:$C$524,"=11",'Unos rashoda i izdataka'!$P$3:$P$524,"=41")+SUMIFS('Unos rashoda P4'!$J$3:$J$501,'Unos rashoda P4'!$A$3:$A$501,"=11",'Unos rashoda P4'!$S$3:$S$501,"=41")</f>
        <v>0</v>
      </c>
      <c r="E75" s="74">
        <f>SUMIFS('Unos rashoda i izdataka'!$L$3:$L$524,'Unos rashoda i izdataka'!$C$3:$C$524,"=12",'Unos rashoda i izdataka'!$P$3:$P$524,"=41")+SUMIFS('Unos rashoda P4'!$J$3:$J$501,'Unos rashoda P4'!$A$3:$A$501,"=12",'Unos rashoda P4'!$S$3:$S$501,"=41")</f>
        <v>0</v>
      </c>
      <c r="F75" s="74">
        <f>SUMIFS('Unos rashoda i izdataka'!$L$3:$L$524,'Unos rashoda i izdataka'!$C$3:$C$524,"=31",'Unos rashoda i izdataka'!$P$3:$P$524,"=41")+SUMIFS('Unos rashoda P4'!$J$3:$J$501,'Unos rashoda P4'!$A$3:$A$501,"=31",'Unos rashoda P4'!$S$3:$S$501,"=41")</f>
        <v>0</v>
      </c>
      <c r="G75" s="74">
        <f>SUMIFS('Unos rashoda i izdataka'!$L$3:$L$524,'Unos rashoda i izdataka'!$C$3:$C$524,"=41",'Unos rashoda i izdataka'!$P$3:$P$524,"=41")+SUMIFS('Unos rashoda P4'!$J$3:$J$501,'Unos rashoda P4'!$A$3:$A$501,"=41",'Unos rashoda P4'!$S$3:$S$501,"=41")</f>
        <v>0</v>
      </c>
      <c r="H75" s="74">
        <f>SUMIFS('Unos rashoda i izdataka'!$L$3:$L$524,'Unos rashoda i izdataka'!$C$3:$C$524,"=43",'Unos rashoda i izdataka'!$P$3:$P$524,"=41")+SUMIFS('Unos rashoda P4'!$J$3:$J$501,'Unos rashoda P4'!$A$3:$A$501,"=43",'Unos rashoda P4'!$S$3:$S$501,"=41")</f>
        <v>0</v>
      </c>
      <c r="I75" s="74">
        <f>SUMIFS('Unos rashoda i izdataka'!$L$3:$L$524,'Unos rashoda i izdataka'!$C$3:$C$524,"=51",'Unos rashoda i izdataka'!$P$3:$P$524,"=41")+SUMIFS('Unos rashoda P4'!$J$3:$J$501,'Unos rashoda P4'!$A$3:$A$501,"=51",'Unos rashoda P4'!$S$3:$S$501,"=41")</f>
        <v>0</v>
      </c>
      <c r="J75" s="74">
        <f>SUMIFS('Unos rashoda i izdataka'!$L$3:$L$524,'Unos rashoda i izdataka'!$C$3:$C$524,"=52",'Unos rashoda i izdataka'!$P$3:$P$524,"=41")+SUMIFS('Unos rashoda P4'!$J$3:$J$501,'Unos rashoda P4'!$A$3:$A$501,"=52",'Unos rashoda P4'!$S$3:$S$501,"=41")</f>
        <v>0</v>
      </c>
      <c r="K75" s="74">
        <f>SUMIFS('Unos rashoda i izdataka'!$L$3:$L$524,'Unos rashoda i izdataka'!$C$3:$C$524,"=552",'Unos rashoda i izdataka'!$P$3:$P$524,"=41")+SUMIFS('Unos rashoda P4'!$J$3:$J$501,'Unos rashoda P4'!$A$3:$A$501,"=552",'Unos rashoda P4'!$S$3:$S$501,"=41")</f>
        <v>0</v>
      </c>
      <c r="L75" s="74">
        <f>SUMIFS('Unos rashoda i izdataka'!$L$3:$L$524,'Unos rashoda i izdataka'!$C$3:$C$524,"=559",'Unos rashoda i izdataka'!$P$3:$P$524,"=41")+SUMIFS('Unos rashoda P4'!$J$3:$J$501,'Unos rashoda P4'!$A$3:$A$501,"=559",'Unos rashoda P4'!$S$3:$S$501,"=41")</f>
        <v>0</v>
      </c>
      <c r="M75" s="74">
        <f>SUMIFS('Unos rashoda i izdataka'!$L$3:$L$524,'Unos rashoda i izdataka'!$C$3:$C$524,"=561",'Unos rashoda i izdataka'!$P$3:$P$524,"=41")+SUMIFS('Unos rashoda P4'!$J$3:$J$501,'Unos rashoda P4'!$A$3:$A$501,"=561",'Unos rashoda P4'!$S$3:$S$501,"=41")</f>
        <v>0</v>
      </c>
      <c r="N75" s="74">
        <f>SUMIFS('Unos rashoda i izdataka'!$L$3:$L$524,'Unos rashoda i izdataka'!$C$3:$C$524,"=563",'Unos rashoda i izdataka'!$P$3:$P$524,"=41")+SUMIFS('Unos rashoda P4'!$J$3:$J$501,'Unos rashoda P4'!$A$3:$A$501,"=563",'Unos rashoda P4'!$S$3:$S$501,"=41")</f>
        <v>0</v>
      </c>
      <c r="O75" s="74">
        <f>SUMIFS('Unos rashoda i izdataka'!$L$3:$L$524,'Unos rashoda i izdataka'!$C$3:$C$524,"=573",'Unos rashoda i izdataka'!$P$3:$P$524,"=41")+SUMIFS('Unos rashoda P4'!$J$3:$J$501,'Unos rashoda P4'!$A$3:$A$501,"=573",'Unos rashoda P4'!$S$3:$S$501,"=41")</f>
        <v>0</v>
      </c>
      <c r="P75" s="74">
        <f>SUMIFS('Unos rashoda i izdataka'!$L$3:$L$524,'Unos rashoda i izdataka'!$C$3:$C$524,"=575",'Unos rashoda i izdataka'!$P$3:$P$524,"=41")+SUMIFS('Unos rashoda P4'!$J$3:$J$501,'Unos rashoda P4'!$A$3:$A$501,"=575",'Unos rashoda P4'!$S$3:$S$501,"=41")</f>
        <v>0</v>
      </c>
      <c r="Q75" s="74">
        <f>SUMIFS('Unos rashoda i izdataka'!$L$3:$L$524,'Unos rashoda i izdataka'!$Q$3:$Q$524,"=576",'Unos rashoda i izdataka'!$P$3:$P$524,"=41")+SUMIFS('Unos rashoda P4'!$J$3:$J$501,'Unos rashoda P4'!$A$3:$A$501,"=576",'Unos rashoda P4'!$S$3:$S$501,"=41")</f>
        <v>0</v>
      </c>
      <c r="R75" s="74">
        <f>SUMIFS('Unos rashoda i izdataka'!$L$3:$L$524,'Unos rashoda i izdataka'!$C$3:$C$524,"=581",'Unos rashoda i izdataka'!$P$3:$P$524,"=41")+SUMIFS('Unos rashoda P4'!$J$3:$J$501,'Unos rashoda P4'!$A$3:$A$501,"=581",'Unos rashoda P4'!$S$3:$S$501,"=41")</f>
        <v>0</v>
      </c>
      <c r="S75" s="74">
        <f>SUMIFS('Unos rashoda i izdataka'!$L$3:$L$524,'Unos rashoda i izdataka'!$C$3:$C$524,"=61",'Unos rashoda i izdataka'!$P$3:$P$524,"=41")+SUMIFS('Unos rashoda P4'!$J$3:$J$501,'Unos rashoda P4'!$A$3:$A$501,"=61",'Unos rashoda P4'!$S$3:$S$501,"=41")</f>
        <v>0</v>
      </c>
      <c r="T75" s="74">
        <f>SUMIFS('Unos rashoda i izdataka'!$L$3:$L$524,'Unos rashoda i izdataka'!$C$3:$C$524,"=63",'Unos rashoda i izdataka'!$P$3:$P$524,"=41")+SUMIFS('Unos rashoda P4'!$J$3:$J$501,'Unos rashoda P4'!$A$3:$A$501,"=63",'Unos rashoda P4'!$S$3:$S$501,"=41")</f>
        <v>0</v>
      </c>
      <c r="U75" s="74">
        <f>SUMIFS('Unos rashoda i izdataka'!$L$3:$L$524,'Unos rashoda i izdataka'!$C$3:$C$524,"=71",'Unos rashoda i izdataka'!$P$3:$P$524,"=41")+SUMIFS('Unos rashoda P4'!$J$3:$J$501,'Unos rashoda P4'!$A$3:$A$501,"=71",'Unos rashoda P4'!$S$3:$S$501,"=41")</f>
        <v>0</v>
      </c>
      <c r="V75" s="74">
        <f>SUMIFS('Unos rashoda i izdataka'!$L$3:$L$524,'Unos rashoda i izdataka'!$C$3:$C$524,"=81",'Unos rashoda i izdataka'!$P$3:$P$524,"=41")+SUMIFS('Unos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45359</v>
      </c>
      <c r="D76" s="74">
        <f>SUMIFS('Unos rashoda i izdataka'!$L$3:$L$524,'Unos rashoda i izdataka'!$C$3:$C$524,"=11",'Unos rashoda i izdataka'!$P$3:$P$524,"=42")+SUMIFS('Unos rashoda P4'!$J$3:$J$501,'Unos rashoda P4'!$A$3:$A$501,"=11",'Unos rashoda P4'!$S$3:$S$501,"=42")</f>
        <v>21421</v>
      </c>
      <c r="E76" s="74">
        <f>SUMIFS('Unos rashoda i izdataka'!$L$3:$L$524,'Unos rashoda i izdataka'!$C$3:$C$524,"=12",'Unos rashoda i izdataka'!$P$3:$P$524,"=42")+SUMIFS('Unos rashoda P4'!$J$3:$J$501,'Unos rashoda P4'!$A$3:$A$501,"=12",'Unos rashoda P4'!$S$3:$S$501,"=42")</f>
        <v>0</v>
      </c>
      <c r="F76" s="74">
        <f>SUMIFS('Unos rashoda i izdataka'!$L$3:$L$524,'Unos rashoda i izdataka'!$C$3:$C$524,"=31",'Unos rashoda i izdataka'!$P$3:$P$524,"=42")+SUMIFS('Unos rashoda P4'!$J$3:$J$501,'Unos rashoda P4'!$A$3:$A$501,"=31",'Unos rashoda P4'!$S$3:$S$501,"=42")</f>
        <v>0</v>
      </c>
      <c r="G76" s="74">
        <f>SUMIFS('Unos rashoda i izdataka'!$L$3:$L$524,'Unos rashoda i izdataka'!$C$3:$C$524,"=41",'Unos rashoda i izdataka'!$P$3:$P$524,"=42")+SUMIFS('Unos rashoda P4'!$J$3:$J$501,'Unos rashoda P4'!$A$3:$A$501,"=41",'Unos rashoda P4'!$S$3:$S$501,"=42")</f>
        <v>0</v>
      </c>
      <c r="H76" s="74">
        <f>SUMIFS('Unos rashoda i izdataka'!$L$3:$L$524,'Unos rashoda i izdataka'!$C$3:$C$524,"=43",'Unos rashoda i izdataka'!$P$3:$P$524,"=42")+SUMIFS('Unos rashoda P4'!$J$3:$J$501,'Unos rashoda P4'!$A$3:$A$501,"=43",'Unos rashoda P4'!$S$3:$S$501,"=42")</f>
        <v>23938</v>
      </c>
      <c r="I76" s="74">
        <f>SUMIFS('Unos rashoda i izdataka'!$L$3:$L$524,'Unos rashoda i izdataka'!$C$3:$C$524,"=51",'Unos rashoda i izdataka'!$P$3:$P$524,"=42")+SUMIFS('Unos rashoda P4'!$J$3:$J$501,'Unos rashoda P4'!$A$3:$A$501,"=51",'Unos rashoda P4'!$S$3:$S$501,"=42")</f>
        <v>0</v>
      </c>
      <c r="J76" s="74">
        <f>SUMIFS('Unos rashoda i izdataka'!$L$3:$L$524,'Unos rashoda i izdataka'!$C$3:$C$524,"=52",'Unos rashoda i izdataka'!$P$3:$P$524,"=42")+SUMIFS('Unos rashoda P4'!$J$3:$J$501,'Unos rashoda P4'!$A$3:$A$501,"=52",'Unos rashoda P4'!$S$3:$S$501,"=42")</f>
        <v>0</v>
      </c>
      <c r="K76" s="74">
        <f>SUMIFS('Unos rashoda i izdataka'!$L$3:$L$524,'Unos rashoda i izdataka'!$C$3:$C$524,"=552",'Unos rashoda i izdataka'!$P$3:$P$524,"=42")+SUMIFS('Unos rashoda P4'!$J$3:$J$501,'Unos rashoda P4'!$A$3:$A$501,"=552",'Unos rashoda P4'!$S$3:$S$501,"=42")</f>
        <v>0</v>
      </c>
      <c r="L76" s="74">
        <f>SUMIFS('Unos rashoda i izdataka'!$L$3:$L$524,'Unos rashoda i izdataka'!$C$3:$C$524,"=559",'Unos rashoda i izdataka'!$P$3:$P$524,"=42")+SUMIFS('Unos rashoda P4'!$J$3:$J$501,'Unos rashoda P4'!$A$3:$A$501,"=559",'Unos rashoda P4'!$S$3:$S$501,"=42")</f>
        <v>0</v>
      </c>
      <c r="M76" s="74">
        <f>SUMIFS('Unos rashoda i izdataka'!$L$3:$L$524,'Unos rashoda i izdataka'!$C$3:$C$524,"=561",'Unos rashoda i izdataka'!$P$3:$P$524,"=42")+SUMIFS('Unos rashoda P4'!$J$3:$J$501,'Unos rashoda P4'!$A$3:$A$501,"=561",'Unos rashoda P4'!$S$3:$S$501,"=42")</f>
        <v>0</v>
      </c>
      <c r="N76" s="74">
        <f>SUMIFS('Unos rashoda i izdataka'!$L$3:$L$524,'Unos rashoda i izdataka'!$C$3:$C$524,"=563",'Unos rashoda i izdataka'!$P$3:$P$524,"=42")+SUMIFS('Unos rashoda P4'!$J$3:$J$501,'Unos rashoda P4'!$A$3:$A$501,"=563",'Unos rashoda P4'!$S$3:$S$501,"=42")</f>
        <v>0</v>
      </c>
      <c r="O76" s="74">
        <f>SUMIFS('Unos rashoda i izdataka'!$L$3:$L$524,'Unos rashoda i izdataka'!$C$3:$C$524,"=573",'Unos rashoda i izdataka'!$P$3:$P$524,"=42")+SUMIFS('Unos rashoda P4'!$J$3:$J$501,'Unos rashoda P4'!$A$3:$A$501,"=573",'Unos rashoda P4'!$S$3:$S$501,"=42")</f>
        <v>0</v>
      </c>
      <c r="P76" s="74">
        <f>SUMIFS('Unos rashoda i izdataka'!$L$3:$L$524,'Unos rashoda i izdataka'!$C$3:$C$524,"=575",'Unos rashoda i izdataka'!$P$3:$P$524,"=42")+SUMIFS('Unos rashoda P4'!$J$3:$J$501,'Unos rashoda P4'!$A$3:$A$501,"=575",'Unos rashoda P4'!$S$3:$S$501,"=42")</f>
        <v>0</v>
      </c>
      <c r="Q76" s="74">
        <f>SUMIFS('Unos rashoda i izdataka'!$L$3:$L$524,'Unos rashoda i izdataka'!$Q$3:$Q$524,"=576",'Unos rashoda i izdataka'!$P$3:$P$524,"=42")+SUMIFS('Unos rashoda P4'!$J$3:$J$501,'Unos rashoda P4'!$A$3:$A$501,"=576",'Unos rashoda P4'!$S$3:$S$501,"=42")</f>
        <v>0</v>
      </c>
      <c r="R76" s="74">
        <f>SUMIFS('Unos rashoda i izdataka'!$L$3:$L$524,'Unos rashoda i izdataka'!$C$3:$C$524,"=581",'Unos rashoda i izdataka'!$P$3:$P$524,"=42")+SUMIFS('Unos rashoda P4'!$J$3:$J$501,'Unos rashoda P4'!$A$3:$A$501,"=581",'Unos rashoda P4'!$S$3:$S$501,"=42")</f>
        <v>0</v>
      </c>
      <c r="S76" s="74">
        <f>SUMIFS('Unos rashoda i izdataka'!$L$3:$L$524,'Unos rashoda i izdataka'!$C$3:$C$524,"=61",'Unos rashoda i izdataka'!$P$3:$P$524,"=42")+SUMIFS('Unos rashoda P4'!$J$3:$J$501,'Unos rashoda P4'!$A$3:$A$501,"=61",'Unos rashoda P4'!$S$3:$S$501,"=42")</f>
        <v>0</v>
      </c>
      <c r="T76" s="74">
        <f>SUMIFS('Unos rashoda i izdataka'!$L$3:$L$524,'Unos rashoda i izdataka'!$C$3:$C$524,"=63",'Unos rashoda i izdataka'!$P$3:$P$524,"=42")+SUMIFS('Unos rashoda P4'!$J$3:$J$501,'Unos rashoda P4'!$A$3:$A$501,"=63",'Unos rashoda P4'!$S$3:$S$501,"=42")</f>
        <v>0</v>
      </c>
      <c r="U76" s="74">
        <f>SUMIFS('Unos rashoda i izdataka'!$L$3:$L$524,'Unos rashoda i izdataka'!$C$3:$C$524,"=71",'Unos rashoda i izdataka'!$P$3:$P$524,"=42")+SUMIFS('Unos rashoda P4'!$J$3:$J$501,'Unos rashoda P4'!$A$3:$A$501,"=71",'Unos rashoda P4'!$S$3:$S$501,"=42")</f>
        <v>0</v>
      </c>
      <c r="V76" s="74">
        <f>SUMIFS('Unos rashoda i izdataka'!$L$3:$L$524,'Unos rashoda i izdataka'!$C$3:$C$524,"=81",'Unos rashoda i izdataka'!$P$3:$P$524,"=42")+SUMIFS('Unos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izdataka'!$L$3:$L$524,'Unos rashoda i izdataka'!$C$3:$C$524,"=11",'Unos rashoda i izdataka'!$P$3:$P$524,"=43")+SUMIFS('Unos rashoda P4'!$J$3:$J$501,'Unos rashoda P4'!$A$3:$A$501,"=11",'Unos rashoda P4'!$S$3:$S$501,"=43")</f>
        <v>0</v>
      </c>
      <c r="E77" s="74">
        <f>SUMIFS('Unos rashoda i izdataka'!$L$3:$L$524,'Unos rashoda i izdataka'!$C$3:$C$524,"=12",'Unos rashoda i izdataka'!$P$3:$P$524,"=43")+SUMIFS('Unos rashoda P4'!$J$3:$J$501,'Unos rashoda P4'!$A$3:$A$501,"=12",'Unos rashoda P4'!$S$3:$S$501,"=43")</f>
        <v>0</v>
      </c>
      <c r="F77" s="74">
        <f>SUMIFS('Unos rashoda i izdataka'!$L$3:$L$524,'Unos rashoda i izdataka'!$C$3:$C$524,"=31",'Unos rashoda i izdataka'!$P$3:$P$524,"=43")+SUMIFS('Unos rashoda P4'!$J$3:$J$501,'Unos rashoda P4'!$A$3:$A$501,"=31",'Unos rashoda P4'!$S$3:$S$501,"=43")</f>
        <v>0</v>
      </c>
      <c r="G77" s="74">
        <f>SUMIFS('Unos rashoda i izdataka'!$L$3:$L$524,'Unos rashoda i izdataka'!$C$3:$C$524,"=41",'Unos rashoda i izdataka'!$P$3:$P$524,"=43")+SUMIFS('Unos rashoda P4'!$J$3:$J$501,'Unos rashoda P4'!$A$3:$A$501,"=41",'Unos rashoda P4'!$S$3:$S$501,"=43")</f>
        <v>0</v>
      </c>
      <c r="H77" s="74">
        <f>SUMIFS('Unos rashoda i izdataka'!$L$3:$L$524,'Unos rashoda i izdataka'!$C$3:$C$524,"=43",'Unos rashoda i izdataka'!$P$3:$P$524,"=43")+SUMIFS('Unos rashoda P4'!$J$3:$J$501,'Unos rashoda P4'!$A$3:$A$501,"=43",'Unos rashoda P4'!$S$3:$S$501,"=43")</f>
        <v>0</v>
      </c>
      <c r="I77" s="74">
        <f>SUMIFS('Unos rashoda i izdataka'!$L$3:$L$524,'Unos rashoda i izdataka'!$C$3:$C$524,"=51",'Unos rashoda i izdataka'!$P$3:$P$524,"=43")+SUMIFS('Unos rashoda P4'!$J$3:$J$501,'Unos rashoda P4'!$A$3:$A$501,"=51",'Unos rashoda P4'!$S$3:$S$501,"=43")</f>
        <v>0</v>
      </c>
      <c r="J77" s="74">
        <f>SUMIFS('Unos rashoda i izdataka'!$L$3:$L$524,'Unos rashoda i izdataka'!$C$3:$C$524,"=52",'Unos rashoda i izdataka'!$P$3:$P$524,"=43")+SUMIFS('Unos rashoda P4'!$J$3:$J$501,'Unos rashoda P4'!$A$3:$A$501,"=52",'Unos rashoda P4'!$S$3:$S$501,"=43")</f>
        <v>0</v>
      </c>
      <c r="K77" s="74">
        <f>SUMIFS('Unos rashoda i izdataka'!$L$3:$L$524,'Unos rashoda i izdataka'!$C$3:$C$524,"=552",'Unos rashoda i izdataka'!$P$3:$P$524,"=43")+SUMIFS('Unos rashoda P4'!$J$3:$J$501,'Unos rashoda P4'!$A$3:$A$501,"=552",'Unos rashoda P4'!$S$3:$S$501,"=43")</f>
        <v>0</v>
      </c>
      <c r="L77" s="74">
        <f>SUMIFS('Unos rashoda i izdataka'!$L$3:$L$524,'Unos rashoda i izdataka'!$C$3:$C$524,"=559",'Unos rashoda i izdataka'!$P$3:$P$524,"=43")+SUMIFS('Unos rashoda P4'!$J$3:$J$501,'Unos rashoda P4'!$A$3:$A$501,"=559",'Unos rashoda P4'!$S$3:$S$501,"=43")</f>
        <v>0</v>
      </c>
      <c r="M77" s="74">
        <f>SUMIFS('Unos rashoda i izdataka'!$L$3:$L$524,'Unos rashoda i izdataka'!$C$3:$C$524,"=561",'Unos rashoda i izdataka'!$P$3:$P$524,"=43")+SUMIFS('Unos rashoda P4'!$J$3:$J$501,'Unos rashoda P4'!$A$3:$A$501,"=561",'Unos rashoda P4'!$S$3:$S$501,"=43")</f>
        <v>0</v>
      </c>
      <c r="N77" s="74">
        <f>SUMIFS('Unos rashoda i izdataka'!$L$3:$L$524,'Unos rashoda i izdataka'!$C$3:$C$524,"=563",'Unos rashoda i izdataka'!$P$3:$P$524,"=43")+SUMIFS('Unos rashoda P4'!$J$3:$J$501,'Unos rashoda P4'!$A$3:$A$501,"=563",'Unos rashoda P4'!$S$3:$S$501,"=43")</f>
        <v>0</v>
      </c>
      <c r="O77" s="74">
        <f>SUMIFS('Unos rashoda i izdataka'!$L$3:$L$524,'Unos rashoda i izdataka'!$C$3:$C$524,"=573",'Unos rashoda i izdataka'!$P$3:$P$524,"=43")+SUMIFS('Unos rashoda P4'!$J$3:$J$501,'Unos rashoda P4'!$A$3:$A$501,"=573",'Unos rashoda P4'!$S$3:$S$501,"=43")</f>
        <v>0</v>
      </c>
      <c r="P77" s="74">
        <f>SUMIFS('Unos rashoda i izdataka'!$L$3:$L$524,'Unos rashoda i izdataka'!$C$3:$C$524,"=575",'Unos rashoda i izdataka'!$P$3:$P$524,"=43")+SUMIFS('Unos rashoda P4'!$J$3:$J$501,'Unos rashoda P4'!$A$3:$A$501,"=575",'Unos rashoda P4'!$S$3:$S$501,"=43")</f>
        <v>0</v>
      </c>
      <c r="Q77" s="74">
        <f>SUMIFS('Unos rashoda i izdataka'!$L$3:$L$524,'Unos rashoda i izdataka'!$Q$3:$Q$524,"=576",'Unos rashoda i izdataka'!$P$3:$P$524,"=43")+SUMIFS('Unos rashoda P4'!$J$3:$J$501,'Unos rashoda P4'!$A$3:$A$501,"=576",'Unos rashoda P4'!$S$3:$S$501,"=43")</f>
        <v>0</v>
      </c>
      <c r="R77" s="74">
        <f>SUMIFS('Unos rashoda i izdataka'!$L$3:$L$524,'Unos rashoda i izdataka'!$C$3:$C$524,"=581",'Unos rashoda i izdataka'!$P$3:$P$524,"=43")+SUMIFS('Unos rashoda P4'!$J$3:$J$501,'Unos rashoda P4'!$A$3:$A$501,"=581",'Unos rashoda P4'!$S$3:$S$501,"=43")</f>
        <v>0</v>
      </c>
      <c r="S77" s="74">
        <f>SUMIFS('Unos rashoda i izdataka'!$L$3:$L$524,'Unos rashoda i izdataka'!$C$3:$C$524,"=61",'Unos rashoda i izdataka'!$P$3:$P$524,"=43")+SUMIFS('Unos rashoda P4'!$J$3:$J$501,'Unos rashoda P4'!$A$3:$A$501,"=61",'Unos rashoda P4'!$S$3:$S$501,"=43")</f>
        <v>0</v>
      </c>
      <c r="T77" s="74">
        <f>SUMIFS('Unos rashoda i izdataka'!$L$3:$L$524,'Unos rashoda i izdataka'!$C$3:$C$524,"=63",'Unos rashoda i izdataka'!$P$3:$P$524,"=43")+SUMIFS('Unos rashoda P4'!$J$3:$J$501,'Unos rashoda P4'!$A$3:$A$501,"=63",'Unos rashoda P4'!$S$3:$S$501,"=43")</f>
        <v>0</v>
      </c>
      <c r="U77" s="74">
        <f>SUMIFS('Unos rashoda i izdataka'!$L$3:$L$524,'Unos rashoda i izdataka'!$C$3:$C$524,"=71",'Unos rashoda i izdataka'!$P$3:$P$524,"=43")+SUMIFS('Unos rashoda P4'!$J$3:$J$501,'Unos rashoda P4'!$A$3:$A$501,"=71",'Unos rashoda P4'!$S$3:$S$501,"=43")</f>
        <v>0</v>
      </c>
      <c r="V77" s="74">
        <f>SUMIFS('Unos rashoda i izdataka'!$L$3:$L$524,'Unos rashoda i izdataka'!$C$3:$C$524,"=81",'Unos rashoda i izdataka'!$P$3:$P$524,"=43")+SUMIFS('Unos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izdataka'!$L$3:$L$524,'Unos rashoda i izdataka'!$C$3:$C$524,"=11",'Unos rashoda i izdataka'!$P$3:$P$524,"=44")+SUMIFS('Unos rashoda P4'!$J$3:$J$501,'Unos rashoda P4'!$A$3:$A$501,"=11",'Unos rashoda P4'!$S$3:$S$501,"=44")</f>
        <v>0</v>
      </c>
      <c r="E78" s="74">
        <f>SUMIFS('Unos rashoda i izdataka'!$L$3:$L$524,'Unos rashoda i izdataka'!$C$3:$C$524,"=12",'Unos rashoda i izdataka'!$P$3:$P$524,"=44")+SUMIFS('Unos rashoda P4'!$J$3:$J$501,'Unos rashoda P4'!$A$3:$A$501,"=12",'Unos rashoda P4'!$S$3:$S$501,"=44")</f>
        <v>0</v>
      </c>
      <c r="F78" s="74">
        <f>SUMIFS('Unos rashoda i izdataka'!$L$3:$L$524,'Unos rashoda i izdataka'!$C$3:$C$524,"=31",'Unos rashoda i izdataka'!$P$3:$P$524,"=44")+SUMIFS('Unos rashoda P4'!$J$3:$J$501,'Unos rashoda P4'!$A$3:$A$501,"=31",'Unos rashoda P4'!$S$3:$S$501,"=44")</f>
        <v>0</v>
      </c>
      <c r="G78" s="74">
        <f>SUMIFS('Unos rashoda i izdataka'!$L$3:$L$524,'Unos rashoda i izdataka'!$C$3:$C$524,"=41",'Unos rashoda i izdataka'!$P$3:$P$524,"=44")+SUMIFS('Unos rashoda P4'!$J$3:$J$501,'Unos rashoda P4'!$A$3:$A$501,"=41",'Unos rashoda P4'!$S$3:$S$501,"=44")</f>
        <v>0</v>
      </c>
      <c r="H78" s="74">
        <f>SUMIFS('Unos rashoda i izdataka'!$L$3:$L$524,'Unos rashoda i izdataka'!$C$3:$C$524,"=43",'Unos rashoda i izdataka'!$P$3:$P$524,"=44")+SUMIFS('Unos rashoda P4'!$J$3:$J$501,'Unos rashoda P4'!$A$3:$A$501,"=43",'Unos rashoda P4'!$S$3:$S$501,"=44")</f>
        <v>0</v>
      </c>
      <c r="I78" s="74">
        <f>SUMIFS('Unos rashoda i izdataka'!$L$3:$L$524,'Unos rashoda i izdataka'!$C$3:$C$524,"=51",'Unos rashoda i izdataka'!$P$3:$P$524,"=44")+SUMIFS('Unos rashoda P4'!$J$3:$J$501,'Unos rashoda P4'!$A$3:$A$501,"=51",'Unos rashoda P4'!$S$3:$S$501,"=44")</f>
        <v>0</v>
      </c>
      <c r="J78" s="74">
        <f>SUMIFS('Unos rashoda i izdataka'!$L$3:$L$524,'Unos rashoda i izdataka'!$C$3:$C$524,"=52",'Unos rashoda i izdataka'!$P$3:$P$524,"=44")+SUMIFS('Unos rashoda P4'!$J$3:$J$501,'Unos rashoda P4'!$A$3:$A$501,"=52",'Unos rashoda P4'!$S$3:$S$501,"=44")</f>
        <v>0</v>
      </c>
      <c r="K78" s="74">
        <f>SUMIFS('Unos rashoda i izdataka'!$L$3:$L$524,'Unos rashoda i izdataka'!$C$3:$C$524,"=552",'Unos rashoda i izdataka'!$P$3:$P$524,"=44")+SUMIFS('Unos rashoda P4'!$J$3:$J$501,'Unos rashoda P4'!$A$3:$A$501,"=552",'Unos rashoda P4'!$S$3:$S$501,"=44")</f>
        <v>0</v>
      </c>
      <c r="L78" s="74">
        <f>SUMIFS('Unos rashoda i izdataka'!$L$3:$L$524,'Unos rashoda i izdataka'!$C$3:$C$524,"=559",'Unos rashoda i izdataka'!$P$3:$P$524,"=44")+SUMIFS('Unos rashoda P4'!$J$3:$J$501,'Unos rashoda P4'!$A$3:$A$501,"=559",'Unos rashoda P4'!$S$3:$S$501,"=44")</f>
        <v>0</v>
      </c>
      <c r="M78" s="74">
        <f>SUMIFS('Unos rashoda i izdataka'!$L$3:$L$524,'Unos rashoda i izdataka'!$C$3:$C$524,"=561",'Unos rashoda i izdataka'!$P$3:$P$524,"=44")+SUMIFS('Unos rashoda P4'!$J$3:$J$501,'Unos rashoda P4'!$A$3:$A$501,"=561",'Unos rashoda P4'!$S$3:$S$501,"=44")</f>
        <v>0</v>
      </c>
      <c r="N78" s="74">
        <f>SUMIFS('Unos rashoda i izdataka'!$L$3:$L$524,'Unos rashoda i izdataka'!$C$3:$C$524,"=563",'Unos rashoda i izdataka'!$P$3:$P$524,"=44")+SUMIFS('Unos rashoda P4'!$J$3:$J$501,'Unos rashoda P4'!$A$3:$A$501,"=563",'Unos rashoda P4'!$S$3:$S$501,"=44")</f>
        <v>0</v>
      </c>
      <c r="O78" s="74">
        <f>SUMIFS('Unos rashoda i izdataka'!$L$3:$L$524,'Unos rashoda i izdataka'!$C$3:$C$524,"=573",'Unos rashoda i izdataka'!$P$3:$P$524,"=44")+SUMIFS('Unos rashoda P4'!$J$3:$J$501,'Unos rashoda P4'!$A$3:$A$501,"=573",'Unos rashoda P4'!$S$3:$S$501,"=44")</f>
        <v>0</v>
      </c>
      <c r="P78" s="74">
        <f>SUMIFS('Unos rashoda i izdataka'!$L$3:$L$524,'Unos rashoda i izdataka'!$C$3:$C$524,"=575",'Unos rashoda i izdataka'!$P$3:$P$524,"=44")+SUMIFS('Unos rashoda P4'!$J$3:$J$501,'Unos rashoda P4'!$A$3:$A$501,"=575",'Unos rashoda P4'!$S$3:$S$501,"=44")</f>
        <v>0</v>
      </c>
      <c r="Q78" s="74">
        <f>SUMIFS('Unos rashoda i izdataka'!$L$3:$L$524,'Unos rashoda i izdataka'!$Q$3:$Q$524,"=576",'Unos rashoda i izdataka'!$P$3:$P$524,"=44")+SUMIFS('Unos rashoda P4'!$J$3:$J$501,'Unos rashoda P4'!$A$3:$A$501,"=576",'Unos rashoda P4'!$S$3:$S$501,"=44")</f>
        <v>0</v>
      </c>
      <c r="R78" s="74">
        <f>SUMIFS('Unos rashoda i izdataka'!$L$3:$L$524,'Unos rashoda i izdataka'!$C$3:$C$524,"=581",'Unos rashoda i izdataka'!$P$3:$P$524,"=44")+SUMIFS('Unos rashoda P4'!$J$3:$J$501,'Unos rashoda P4'!$A$3:$A$501,"=581",'Unos rashoda P4'!$S$3:$S$501,"=44")</f>
        <v>0</v>
      </c>
      <c r="S78" s="74">
        <f>SUMIFS('Unos rashoda i izdataka'!$L$3:$L$524,'Unos rashoda i izdataka'!$C$3:$C$524,"=61",'Unos rashoda i izdataka'!$P$3:$P$524,"=44")+SUMIFS('Unos rashoda P4'!$J$3:$J$501,'Unos rashoda P4'!$A$3:$A$501,"=61",'Unos rashoda P4'!$S$3:$S$501,"=44")</f>
        <v>0</v>
      </c>
      <c r="T78" s="74">
        <f>SUMIFS('Unos rashoda i izdataka'!$L$3:$L$524,'Unos rashoda i izdataka'!$C$3:$C$524,"=63",'Unos rashoda i izdataka'!$P$3:$P$524,"=44")+SUMIFS('Unos rashoda P4'!$J$3:$J$501,'Unos rashoda P4'!$A$3:$A$501,"=63",'Unos rashoda P4'!$S$3:$S$501,"=44")</f>
        <v>0</v>
      </c>
      <c r="U78" s="74">
        <f>SUMIFS('Unos rashoda i izdataka'!$L$3:$L$524,'Unos rashoda i izdataka'!$C$3:$C$524,"=71",'Unos rashoda i izdataka'!$P$3:$P$524,"=44")+SUMIFS('Unos rashoda P4'!$J$3:$J$501,'Unos rashoda P4'!$A$3:$A$501,"=71",'Unos rashoda P4'!$S$3:$S$501,"=44")</f>
        <v>0</v>
      </c>
      <c r="V78" s="74">
        <f>SUMIFS('Unos rashoda i izdataka'!$L$3:$L$524,'Unos rashoda i izdataka'!$C$3:$C$524,"=81",'Unos rashoda i izdataka'!$P$3:$P$524,"=44")+SUMIFS('Unos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0</v>
      </c>
      <c r="D79" s="74">
        <f>SUMIFS('Unos rashoda i izdataka'!$L$3:$L$524,'Unos rashoda i izdataka'!$C$3:$C$524,"=11",'Unos rashoda i izdataka'!$P$3:$P$524,"=45")+SUMIFS('Unos rashoda P4'!$J$3:$J$501,'Unos rashoda P4'!$A$3:$A$501,"=11",'Unos rashoda P4'!$S$3:$S$501,"=45")</f>
        <v>0</v>
      </c>
      <c r="E79" s="74">
        <f>SUMIFS('Unos rashoda i izdataka'!$L$3:$L$524,'Unos rashoda i izdataka'!$C$3:$C$524,"=12",'Unos rashoda i izdataka'!$P$3:$P$524,"=45")+SUMIFS('Unos rashoda P4'!$J$3:$J$501,'Unos rashoda P4'!$A$3:$A$501,"=12",'Unos rashoda P4'!$S$3:$S$501,"=45")</f>
        <v>0</v>
      </c>
      <c r="F79" s="74">
        <f>SUMIFS('Unos rashoda i izdataka'!$L$3:$L$524,'Unos rashoda i izdataka'!$C$3:$C$524,"=31",'Unos rashoda i izdataka'!$P$3:$P$524,"=45")+SUMIFS('Unos rashoda P4'!$J$3:$J$501,'Unos rashoda P4'!$A$3:$A$501,"=31",'Unos rashoda P4'!$S$3:$S$501,"=45")</f>
        <v>0</v>
      </c>
      <c r="G79" s="74">
        <f>SUMIFS('Unos rashoda i izdataka'!$L$3:$L$524,'Unos rashoda i izdataka'!$C$3:$C$524,"=41",'Unos rashoda i izdataka'!$P$3:$P$524,"=45")+SUMIFS('Unos rashoda P4'!$J$3:$J$501,'Unos rashoda P4'!$A$3:$A$501,"=41",'Unos rashoda P4'!$S$3:$S$501,"=45")</f>
        <v>0</v>
      </c>
      <c r="H79" s="74">
        <f>SUMIFS('Unos rashoda i izdataka'!$L$3:$L$524,'Unos rashoda i izdataka'!$C$3:$C$524,"=43",'Unos rashoda i izdataka'!$P$3:$P$524,"=45")+SUMIFS('Unos rashoda P4'!$J$3:$J$501,'Unos rashoda P4'!$A$3:$A$501,"=43",'Unos rashoda P4'!$S$3:$S$501,"=45")</f>
        <v>0</v>
      </c>
      <c r="I79" s="74">
        <f>SUMIFS('Unos rashoda i izdataka'!$L$3:$L$524,'Unos rashoda i izdataka'!$C$3:$C$524,"=51",'Unos rashoda i izdataka'!$P$3:$P$524,"=45")+SUMIFS('Unos rashoda P4'!$J$3:$J$501,'Unos rashoda P4'!$A$3:$A$501,"=51",'Unos rashoda P4'!$S$3:$S$501,"=45")</f>
        <v>0</v>
      </c>
      <c r="J79" s="74">
        <f>SUMIFS('Unos rashoda i izdataka'!$L$3:$L$524,'Unos rashoda i izdataka'!$C$3:$C$524,"=52",'Unos rashoda i izdataka'!$P$3:$P$524,"=45")+SUMIFS('Unos rashoda P4'!$J$3:$J$501,'Unos rashoda P4'!$A$3:$A$501,"=52",'Unos rashoda P4'!$S$3:$S$501,"=45")</f>
        <v>0</v>
      </c>
      <c r="K79" s="74">
        <f>SUMIFS('Unos rashoda i izdataka'!$L$3:$L$524,'Unos rashoda i izdataka'!$C$3:$C$524,"=552",'Unos rashoda i izdataka'!$P$3:$P$524,"=45")+SUMIFS('Unos rashoda P4'!$J$3:$J$501,'Unos rashoda P4'!$A$3:$A$501,"=552",'Unos rashoda P4'!$S$3:$S$501,"=45")</f>
        <v>0</v>
      </c>
      <c r="L79" s="74">
        <f>SUMIFS('Unos rashoda i izdataka'!$L$3:$L$524,'Unos rashoda i izdataka'!$C$3:$C$524,"=559",'Unos rashoda i izdataka'!$P$3:$P$524,"=45")+SUMIFS('Unos rashoda P4'!$J$3:$J$501,'Unos rashoda P4'!$A$3:$A$501,"=559",'Unos rashoda P4'!$S$3:$S$501,"=45")</f>
        <v>0</v>
      </c>
      <c r="M79" s="74">
        <f>SUMIFS('Unos rashoda i izdataka'!$L$3:$L$524,'Unos rashoda i izdataka'!$C$3:$C$524,"=561",'Unos rashoda i izdataka'!$P$3:$P$524,"=45")+SUMIFS('Unos rashoda P4'!$J$3:$J$501,'Unos rashoda P4'!$A$3:$A$501,"=561",'Unos rashoda P4'!$S$3:$S$501,"=45")</f>
        <v>0</v>
      </c>
      <c r="N79" s="74">
        <f>SUMIFS('Unos rashoda i izdataka'!$L$3:$L$524,'Unos rashoda i izdataka'!$C$3:$C$524,"=563",'Unos rashoda i izdataka'!$P$3:$P$524,"=45")+SUMIFS('Unos rashoda P4'!$J$3:$J$501,'Unos rashoda P4'!$A$3:$A$501,"=563",'Unos rashoda P4'!$S$3:$S$501,"=45")</f>
        <v>0</v>
      </c>
      <c r="O79" s="74">
        <f>SUMIFS('Unos rashoda i izdataka'!$L$3:$L$524,'Unos rashoda i izdataka'!$C$3:$C$524,"=573",'Unos rashoda i izdataka'!$P$3:$P$524,"=45")+SUMIFS('Unos rashoda P4'!$J$3:$J$501,'Unos rashoda P4'!$A$3:$A$501,"=573",'Unos rashoda P4'!$S$3:$S$501,"=45")</f>
        <v>0</v>
      </c>
      <c r="P79" s="74">
        <f>SUMIFS('Unos rashoda i izdataka'!$L$3:$L$524,'Unos rashoda i izdataka'!$C$3:$C$524,"=575",'Unos rashoda i izdataka'!$P$3:$P$524,"=45")+SUMIFS('Unos rashoda P4'!$J$3:$J$501,'Unos rashoda P4'!$A$3:$A$501,"=575",'Unos rashoda P4'!$S$3:$S$501,"=45")</f>
        <v>0</v>
      </c>
      <c r="Q79" s="74">
        <f>SUMIFS('Unos rashoda i izdataka'!$L$3:$L$524,'Unos rashoda i izdataka'!$Q$3:$Q$524,"=576",'Unos rashoda i izdataka'!$P$3:$P$524,"=45")+SUMIFS('Unos rashoda P4'!$J$3:$J$501,'Unos rashoda P4'!$A$3:$A$501,"=576",'Unos rashoda P4'!$S$3:$S$501,"=45")</f>
        <v>0</v>
      </c>
      <c r="R79" s="74">
        <f>SUMIFS('Unos rashoda i izdataka'!$L$3:$L$524,'Unos rashoda i izdataka'!$C$3:$C$524,"=581",'Unos rashoda i izdataka'!$P$3:$P$524,"=45")+SUMIFS('Unos rashoda P4'!$J$3:$J$501,'Unos rashoda P4'!$A$3:$A$501,"=581",'Unos rashoda P4'!$S$3:$S$501,"=45")</f>
        <v>0</v>
      </c>
      <c r="S79" s="74">
        <f>SUMIFS('Unos rashoda i izdataka'!$L$3:$L$524,'Unos rashoda i izdataka'!$C$3:$C$524,"=61",'Unos rashoda i izdataka'!$P$3:$P$524,"=45")+SUMIFS('Unos rashoda P4'!$J$3:$J$501,'Unos rashoda P4'!$A$3:$A$501,"=61",'Unos rashoda P4'!$S$3:$S$501,"=45")</f>
        <v>0</v>
      </c>
      <c r="T79" s="74">
        <f>SUMIFS('Unos rashoda i izdataka'!$L$3:$L$524,'Unos rashoda i izdataka'!$C$3:$C$524,"=63",'Unos rashoda i izdataka'!$P$3:$P$524,"=45")+SUMIFS('Unos rashoda P4'!$J$3:$J$501,'Unos rashoda P4'!$A$3:$A$501,"=63",'Unos rashoda P4'!$S$3:$S$501,"=45")</f>
        <v>0</v>
      </c>
      <c r="U79" s="74">
        <f>SUMIFS('Unos rashoda i izdataka'!$L$3:$L$524,'Unos rashoda i izdataka'!$C$3:$C$524,"=71",'Unos rashoda i izdataka'!$P$3:$P$524,"=45")+SUMIFS('Unos rashoda P4'!$J$3:$J$501,'Unos rashoda P4'!$A$3:$A$501,"=71",'Unos rashoda P4'!$S$3:$S$501,"=45")</f>
        <v>0</v>
      </c>
      <c r="V79" s="74">
        <f>SUMIFS('Unos rashoda i izdataka'!$L$3:$L$524,'Unos rashoda i izdataka'!$C$3:$C$524,"=81",'Unos rashoda i izdataka'!$P$3:$P$524,"=45")+SUMIFS('Unos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F10" sqref="F10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3" t="s">
        <v>5107</v>
      </c>
      <c r="B1" s="373"/>
      <c r="C1" s="373"/>
      <c r="D1" s="373"/>
      <c r="E1" s="373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59"/>
      <c r="B5" s="59" t="s">
        <v>5130</v>
      </c>
      <c r="C5" s="324">
        <f>+C6+C9+C11+C14+C25+C28+C30</f>
        <v>770553</v>
      </c>
      <c r="D5" s="324">
        <f t="shared" ref="D5:E5" si="0">+D6+D9+D11+D14+D25+D28+D30</f>
        <v>84738</v>
      </c>
      <c r="E5" s="324">
        <f t="shared" si="0"/>
        <v>855291</v>
      </c>
    </row>
    <row r="6" spans="1:193">
      <c r="A6" s="297">
        <v>1</v>
      </c>
      <c r="B6" s="58" t="s">
        <v>5122</v>
      </c>
      <c r="C6" s="323">
        <f>+C7+C8</f>
        <v>731879</v>
      </c>
      <c r="D6" s="323">
        <f t="shared" ref="D6:E6" si="1">+D7+D8</f>
        <v>-33372</v>
      </c>
      <c r="E6" s="323">
        <f t="shared" si="1"/>
        <v>698507</v>
      </c>
    </row>
    <row r="7" spans="1:193">
      <c r="A7" s="294">
        <v>11</v>
      </c>
      <c r="B7" s="43" t="s">
        <v>5109</v>
      </c>
      <c r="C7" s="322">
        <f>+'A.2 RASHODI'!D4</f>
        <v>731879</v>
      </c>
      <c r="D7" s="322">
        <f>+'A.2 RASHODI'!D40</f>
        <v>-33372</v>
      </c>
      <c r="E7" s="322">
        <f>+'A.2 RASHODI'!D57</f>
        <v>698507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0</v>
      </c>
      <c r="D9" s="323">
        <f t="shared" ref="D9:E9" si="2">+D10</f>
        <v>31692</v>
      </c>
      <c r="E9" s="323">
        <f t="shared" si="2"/>
        <v>31692</v>
      </c>
    </row>
    <row r="10" spans="1:193">
      <c r="A10" s="294">
        <v>31</v>
      </c>
      <c r="B10" s="43" t="s">
        <v>5110</v>
      </c>
      <c r="C10" s="322">
        <f>+'A.2 RASHODI'!F4</f>
        <v>0</v>
      </c>
      <c r="D10" s="322">
        <f>+'A.2 RASHODI'!F40</f>
        <v>31692</v>
      </c>
      <c r="E10" s="322">
        <f>+'A.2 RASHODI'!F57</f>
        <v>31692</v>
      </c>
    </row>
    <row r="11" spans="1:193">
      <c r="A11" s="297">
        <v>4</v>
      </c>
      <c r="B11" s="58" t="s">
        <v>5124</v>
      </c>
      <c r="C11" s="323">
        <f>+C12+C13</f>
        <v>17886</v>
      </c>
      <c r="D11" s="323">
        <f t="shared" ref="D11:E11" si="3">+D12+D13</f>
        <v>68396</v>
      </c>
      <c r="E11" s="323">
        <f t="shared" si="3"/>
        <v>86282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17886</v>
      </c>
      <c r="D13" s="322">
        <f>+'A.2 RASHODI'!H40</f>
        <v>68396</v>
      </c>
      <c r="E13" s="322">
        <f>+'A.2 RASHODI'!H57</f>
        <v>86282</v>
      </c>
    </row>
    <row r="14" spans="1:193">
      <c r="A14" s="297">
        <v>5</v>
      </c>
      <c r="B14" s="58" t="s">
        <v>5125</v>
      </c>
      <c r="C14" s="323">
        <f>SUM(C15:C24)</f>
        <v>20788</v>
      </c>
      <c r="D14" s="323">
        <f t="shared" ref="D14:E14" si="4">SUM(D15:D24)</f>
        <v>18022</v>
      </c>
      <c r="E14" s="323">
        <f t="shared" si="4"/>
        <v>38810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+'A.2 RASHODI'!I40</f>
        <v>1320</v>
      </c>
      <c r="E15" s="322">
        <f>+'A.2 RASHODI'!I57</f>
        <v>1320</v>
      </c>
    </row>
    <row r="16" spans="1:193">
      <c r="A16" s="294">
        <v>52</v>
      </c>
      <c r="B16" s="43" t="s">
        <v>5114</v>
      </c>
      <c r="C16" s="322">
        <f>+'A.2 RASHODI'!J4</f>
        <v>20788</v>
      </c>
      <c r="D16" s="322">
        <f>+'A.2 RASHODI'!J40</f>
        <v>16702</v>
      </c>
      <c r="E16" s="322">
        <f>+'A.2 RASHODI'!J57</f>
        <v>37490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0</v>
      </c>
      <c r="D25" s="323">
        <f t="shared" ref="D25:E25" si="5">+D26+D27</f>
        <v>0</v>
      </c>
      <c r="E25" s="323">
        <f t="shared" si="5"/>
        <v>0</v>
      </c>
    </row>
    <row r="26" spans="1:5">
      <c r="A26" s="294">
        <v>61</v>
      </c>
      <c r="B26" s="43" t="s">
        <v>1683</v>
      </c>
      <c r="C26" s="322">
        <f>+'A.2 RASHODI'!S4</f>
        <v>0</v>
      </c>
      <c r="D26" s="322">
        <f>+'A.2 RASHODI'!S40</f>
        <v>0</v>
      </c>
      <c r="E26" s="322">
        <f>+'A.2 RASHODI'!S57</f>
        <v>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5121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G76" sqref="G76:I79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3" t="s">
        <v>5129</v>
      </c>
      <c r="B1" s="373"/>
      <c r="C1" s="373"/>
      <c r="D1" s="373"/>
      <c r="E1" s="373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314"/>
      <c r="B5" s="59" t="s">
        <v>5130</v>
      </c>
      <c r="C5" s="61">
        <f>+C6+C15+C21+C28+C38+C45+C52+C59+C66+C75</f>
        <v>770553</v>
      </c>
      <c r="D5" s="61">
        <f t="shared" ref="D5:E5" si="0">+D6+D15+D21+D28+D38+D45+D52+D59+D66+D75</f>
        <v>84738</v>
      </c>
      <c r="E5" s="61">
        <f t="shared" si="0"/>
        <v>855291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5132</v>
      </c>
      <c r="C7" s="322">
        <f>SUMIF('Unos rashoda i izdataka'!$R$3:$R$524,'A.4 RASHODI FUNK'!$A7,'Unos rashoda i izdataka'!$J$3:$J$524)+SUMIF('Unos rashoda P4'!$T$3:$T$501,'A.4 RASHODI FUNK'!$A7,'Unos rashoda P4'!$H$3:$H$501)</f>
        <v>0</v>
      </c>
      <c r="D7" s="322">
        <f>SUMIF('Unos rashoda i izdataka'!$R$3:$R$524,'A.4 RASHODI FUNK'!$A7,'Unos rashoda i izdataka'!$K$3:$K$524)+SUMIF('Unos rashoda P4'!$T$3:$T$501,'A.4 RASHODI FUNK'!$A7,'Unos rashoda P4'!$I$3:$I$501)</f>
        <v>0</v>
      </c>
      <c r="E7" s="322">
        <f>SUMIF('Unos rashoda i izdataka'!$R$3:$R$524,'A.4 RASHODI FUNK'!$A7,'Unos rashoda i izdataka'!$L$3:$L$524)+SUMIF('Unos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izdataka'!$R$3:$R$524,'A.4 RASHODI FUNK'!$A8,'Unos rashoda i izdataka'!$J$3:$J$524)+SUMIF('Unos rashoda P4'!$T$3:$T$501,'A.4 RASHODI FUNK'!$A8,'Unos rashoda P4'!$H$3:$H$501)</f>
        <v>0</v>
      </c>
      <c r="D8" s="322">
        <f>SUMIF('Unos rashoda i izdataka'!$R$3:$R$524,'A.4 RASHODI FUNK'!$A8,'Unos rashoda i izdataka'!$K$3:$K$524)+SUMIF('Unos rashoda P4'!$T$3:$T$501,'A.4 RASHODI FUNK'!$A8,'Unos rashoda P4'!$I$3:$I$501)</f>
        <v>0</v>
      </c>
      <c r="E8" s="322">
        <f>SUMIF('Unos rashoda i izdataka'!$R$3:$R$524,'A.4 RASHODI FUNK'!$A8,'Unos rashoda i izdataka'!$L$3:$L$524)+SUMIF('Unos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izdataka'!$R$3:$R$524,'A.4 RASHODI FUNK'!$A9,'Unos rashoda i izdataka'!$J$3:$J$524)+SUMIF('Unos rashoda P4'!$T$3:$T$501,'A.4 RASHODI FUNK'!$A9,'Unos rashoda P4'!$H$3:$H$501)</f>
        <v>0</v>
      </c>
      <c r="D9" s="322">
        <f>SUMIF('Unos rashoda i izdataka'!$R$3:$R$524,'A.4 RASHODI FUNK'!$A9,'Unos rashoda i izdataka'!$K$3:$K$524)+SUMIF('Unos rashoda P4'!$T$3:$T$501,'A.4 RASHODI FUNK'!$A9,'Unos rashoda P4'!$I$3:$I$501)</f>
        <v>0</v>
      </c>
      <c r="E9" s="322">
        <f>SUMIF('Unos rashoda i izdataka'!$R$3:$R$524,'A.4 RASHODI FUNK'!$A9,'Unos rashoda i izdataka'!$L$3:$L$524)+SUMIF('Unos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izdataka'!$R$3:$R$524,'A.4 RASHODI FUNK'!$A10,'Unos rashoda i izdataka'!$J$3:$J$524)+SUMIF('Unos rashoda P4'!$T$3:$T$501,'A.4 RASHODI FUNK'!$A10,'Unos rashoda P4'!$H$3:$H$501)</f>
        <v>0</v>
      </c>
      <c r="D10" s="322">
        <f>SUMIF('Unos rashoda i izdataka'!$R$3:$R$524,'A.4 RASHODI FUNK'!$A10,'Unos rashoda i izdataka'!$K$3:$K$524)+SUMIF('Unos rashoda P4'!$T$3:$T$501,'A.4 RASHODI FUNK'!$A10,'Unos rashoda P4'!$I$3:$I$501)</f>
        <v>0</v>
      </c>
      <c r="E10" s="322">
        <f>SUMIF('Unos rashoda i izdataka'!$R$3:$R$524,'A.4 RASHODI FUNK'!$A10,'Unos rashoda i izdataka'!$L$3:$L$524)+SUMIF('Unos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izdataka'!$R$3:$R$524,'A.4 RASHODI FUNK'!$A11,'Unos rashoda i izdataka'!$J$3:$J$524)+SUMIF('Unos rashoda P4'!$T$3:$T$501,'A.4 RASHODI FUNK'!$A11,'Unos rashoda P4'!$H$3:$H$501)</f>
        <v>0</v>
      </c>
      <c r="D11" s="322">
        <f>SUMIF('Unos rashoda i izdataka'!$R$3:$R$524,'A.4 RASHODI FUNK'!$A11,'Unos rashoda i izdataka'!$K$3:$K$524)+SUMIF('Unos rashoda P4'!$T$3:$T$501,'A.4 RASHODI FUNK'!$A11,'Unos rashoda P4'!$I$3:$I$501)</f>
        <v>0</v>
      </c>
      <c r="E11" s="322">
        <f>SUMIF('Unos rashoda i izdataka'!$R$3:$R$524,'A.4 RASHODI FUNK'!$A11,'Unos rashoda i izdataka'!$L$3:$L$524)+SUMIF('Unos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izdataka'!$R$3:$R$524,'A.4 RASHODI FUNK'!$A12,'Unos rashoda i izdataka'!$J$3:$J$524)+SUMIF('Unos rashoda P4'!$T$3:$T$501,'A.4 RASHODI FUNK'!$A12,'Unos rashoda P4'!$H$3:$H$501)</f>
        <v>0</v>
      </c>
      <c r="D12" s="322">
        <f>SUMIF('Unos rashoda i izdataka'!$R$3:$R$524,'A.4 RASHODI FUNK'!$A12,'Unos rashoda i izdataka'!$K$3:$K$524)+SUMIF('Unos rashoda P4'!$T$3:$T$501,'A.4 RASHODI FUNK'!$A12,'Unos rashoda P4'!$I$3:$I$501)</f>
        <v>0</v>
      </c>
      <c r="E12" s="322">
        <f>SUMIF('Unos rashoda i izdataka'!$R$3:$R$524,'A.4 RASHODI FUNK'!$A12,'Unos rashoda i izdataka'!$L$3:$L$524)+SUMIF('Unos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izdataka'!$R$3:$R$524,'A.4 RASHODI FUNK'!$A13,'Unos rashoda i izdataka'!$J$3:$J$524)+SUMIF('Unos rashoda P4'!$T$3:$T$501,'A.4 RASHODI FUNK'!$A13,'Unos rashoda P4'!$H$3:$H$501)</f>
        <v>0</v>
      </c>
      <c r="D13" s="322">
        <f>SUMIF('Unos rashoda i izdataka'!$R$3:$R$524,'A.4 RASHODI FUNK'!$A13,'Unos rashoda i izdataka'!$K$3:$K$524)+SUMIF('Unos rashoda P4'!$T$3:$T$501,'A.4 RASHODI FUNK'!$A13,'Unos rashoda P4'!$I$3:$I$501)</f>
        <v>0</v>
      </c>
      <c r="E13" s="322">
        <f>SUMIF('Unos rashoda i izdataka'!$R$3:$R$524,'A.4 RASHODI FUNK'!$A13,'Unos rashoda i izdataka'!$L$3:$L$524)+SUMIF('Unos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izdataka'!$R$3:$R$524,'A.4 RASHODI FUNK'!$A14,'Unos rashoda i izdataka'!$J$3:$J$524)+SUMIF('Unos rashoda P4'!$T$3:$T$501,'A.4 RASHODI FUNK'!$A14,'Unos rashoda P4'!$H$3:$H$501)</f>
        <v>0</v>
      </c>
      <c r="D14" s="322">
        <f>SUMIF('Unos rashoda i izdataka'!$R$3:$R$524,'A.4 RASHODI FUNK'!$A14,'Unos rashoda i izdataka'!$K$3:$K$524)+SUMIF('Unos rashoda P4'!$T$3:$T$501,'A.4 RASHODI FUNK'!$A14,'Unos rashoda P4'!$I$3:$I$501)</f>
        <v>0</v>
      </c>
      <c r="E14" s="322">
        <f>SUMIF('Unos rashoda i izdataka'!$R$3:$R$524,'A.4 RASHODI FUNK'!$A14,'Unos rashoda i izdataka'!$L$3:$L$524)+SUMIF('Unos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izdataka'!$R$3:$R$524,'A.4 RASHODI FUNK'!$A16,'Unos rashoda i izdataka'!$J$3:$J$524)+SUMIF('Unos rashoda P4'!$T$3:$T$501,'A.4 RASHODI FUNK'!$A16,'Unos rashoda P4'!$H$3:$H$501)</f>
        <v>0</v>
      </c>
      <c r="D16" s="322">
        <f>SUMIF('Unos rashoda i izdataka'!$R$3:$R$524,'A.4 RASHODI FUNK'!$A16,'Unos rashoda i izdataka'!$K$3:$K$524)+SUMIF('Unos rashoda P4'!$T$3:$T$501,'A.4 RASHODI FUNK'!$A16,'Unos rashoda P4'!$I$3:$I$501)</f>
        <v>0</v>
      </c>
      <c r="E16" s="322">
        <f>SUMIF('Unos rashoda i izdataka'!$R$3:$R$524,'A.4 RASHODI FUNK'!$A16,'Unos rashoda i izdataka'!$L$3:$L$524)+SUMIF('Unos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izdataka'!$R$3:$R$524,'A.4 RASHODI FUNK'!$A17,'Unos rashoda i izdataka'!$J$3:$J$524)+SUMIF('Unos rashoda P4'!$T$3:$T$501,'A.4 RASHODI FUNK'!$A17,'Unos rashoda P4'!$H$3:$H$501)</f>
        <v>0</v>
      </c>
      <c r="D17" s="322">
        <f>SUMIF('Unos rashoda i izdataka'!$R$3:$R$524,'A.4 RASHODI FUNK'!$A17,'Unos rashoda i izdataka'!$K$3:$K$524)+SUMIF('Unos rashoda P4'!$T$3:$T$501,'A.4 RASHODI FUNK'!$A17,'Unos rashoda P4'!$I$3:$I$501)</f>
        <v>0</v>
      </c>
      <c r="E17" s="322">
        <f>SUMIF('Unos rashoda i izdataka'!$R$3:$R$524,'A.4 RASHODI FUNK'!$A17,'Unos rashoda i izdataka'!$L$3:$L$524)+SUMIF('Unos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izdataka'!$R$3:$R$524,'A.4 RASHODI FUNK'!$A18,'Unos rashoda i izdataka'!$J$3:$J$524)+SUMIF('Unos rashoda P4'!$T$3:$T$501,'A.4 RASHODI FUNK'!$A18,'Unos rashoda P4'!$H$3:$H$501)</f>
        <v>0</v>
      </c>
      <c r="D18" s="322">
        <f>SUMIF('Unos rashoda i izdataka'!$R$3:$R$524,'A.4 RASHODI FUNK'!$A18,'Unos rashoda i izdataka'!$K$3:$K$524)+SUMIF('Unos rashoda P4'!$T$3:$T$501,'A.4 RASHODI FUNK'!$A18,'Unos rashoda P4'!$I$3:$I$501)</f>
        <v>0</v>
      </c>
      <c r="E18" s="322">
        <f>SUMIF('Unos rashoda i izdataka'!$R$3:$R$524,'A.4 RASHODI FUNK'!$A18,'Unos rashoda i izdataka'!$L$3:$L$524)+SUMIF('Unos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izdataka'!$R$3:$R$524,'A.4 RASHODI FUNK'!$A19,'Unos rashoda i izdataka'!$J$3:$J$524)+SUMIF('Unos rashoda P4'!$T$3:$T$501,'A.4 RASHODI FUNK'!$A19,'Unos rashoda P4'!$H$3:$H$501)</f>
        <v>0</v>
      </c>
      <c r="D19" s="322">
        <f>SUMIF('Unos rashoda i izdataka'!$R$3:$R$524,'A.4 RASHODI FUNK'!$A19,'Unos rashoda i izdataka'!$K$3:$K$524)+SUMIF('Unos rashoda P4'!$T$3:$T$501,'A.4 RASHODI FUNK'!$A19,'Unos rashoda P4'!$I$3:$I$501)</f>
        <v>0</v>
      </c>
      <c r="E19" s="322">
        <f>SUMIF('Unos rashoda i izdataka'!$R$3:$R$524,'A.4 RASHODI FUNK'!$A19,'Unos rashoda i izdataka'!$L$3:$L$524)+SUMIF('Unos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izdataka'!$R$3:$R$524,'A.4 RASHODI FUNK'!$A20,'Unos rashoda i izdataka'!$J$3:$J$524)+SUMIF('Unos rashoda P4'!$T$3:$T$501,'A.4 RASHODI FUNK'!$A20,'Unos rashoda P4'!$H$3:$H$501)</f>
        <v>0</v>
      </c>
      <c r="D20" s="322">
        <f>SUMIF('Unos rashoda i izdataka'!$R$3:$R$524,'A.4 RASHODI FUNK'!$A20,'Unos rashoda i izdataka'!$K$3:$K$524)+SUMIF('Unos rashoda P4'!$T$3:$T$501,'A.4 RASHODI FUNK'!$A20,'Unos rashoda P4'!$I$3:$I$501)</f>
        <v>0</v>
      </c>
      <c r="E20" s="322">
        <f>SUMIF('Unos rashoda i izdataka'!$R$3:$R$524,'A.4 RASHODI FUNK'!$A20,'Unos rashoda i izdataka'!$L$3:$L$524)+SUMIF('Unos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izdataka'!$R$3:$R$524,'A.4 RASHODI FUNK'!$A22,'Unos rashoda i izdataka'!$J$3:$J$524)+SUMIF('Unos rashoda P4'!$T$3:$T$501,'A.4 RASHODI FUNK'!$A22,'Unos rashoda P4'!$H$3:$H$501)</f>
        <v>0</v>
      </c>
      <c r="D22" s="322">
        <f>SUMIF('Unos rashoda i izdataka'!$R$3:$R$524,'A.4 RASHODI FUNK'!$A22,'Unos rashoda i izdataka'!$K$3:$K$524)+SUMIF('Unos rashoda P4'!$T$3:$T$501,'A.4 RASHODI FUNK'!$A22,'Unos rashoda P4'!$I$3:$I$501)</f>
        <v>0</v>
      </c>
      <c r="E22" s="322">
        <f>SUMIF('Unos rashoda i izdataka'!$R$3:$R$524,'A.4 RASHODI FUNK'!$A22,'Unos rashoda i izdataka'!$L$3:$L$524)+SUMIF('Unos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izdataka'!$R$3:$R$524,'A.4 RASHODI FUNK'!$A23,'Unos rashoda i izdataka'!$J$3:$J$524)+SUMIF('Unos rashoda P4'!$T$3:$T$501,'A.4 RASHODI FUNK'!$A23,'Unos rashoda P4'!$H$3:$H$501)</f>
        <v>0</v>
      </c>
      <c r="D23" s="322">
        <f>SUMIF('Unos rashoda i izdataka'!$R$3:$R$524,'A.4 RASHODI FUNK'!$A23,'Unos rashoda i izdataka'!$K$3:$K$524)+SUMIF('Unos rashoda P4'!$T$3:$T$501,'A.4 RASHODI FUNK'!$A23,'Unos rashoda P4'!$I$3:$I$501)</f>
        <v>0</v>
      </c>
      <c r="E23" s="322">
        <f>SUMIF('Unos rashoda i izdataka'!$R$3:$R$524,'A.4 RASHODI FUNK'!$A23,'Unos rashoda i izdataka'!$L$3:$L$524)+SUMIF('Unos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izdataka'!$R$3:$R$524,'A.4 RASHODI FUNK'!$A24,'Unos rashoda i izdataka'!$J$3:$J$524)+SUMIF('Unos rashoda P4'!$T$3:$T$501,'A.4 RASHODI FUNK'!$A24,'Unos rashoda P4'!$H$3:$H$501)</f>
        <v>0</v>
      </c>
      <c r="D24" s="322">
        <f>SUMIF('Unos rashoda i izdataka'!$R$3:$R$524,'A.4 RASHODI FUNK'!$A24,'Unos rashoda i izdataka'!$K$3:$K$524)+SUMIF('Unos rashoda P4'!$T$3:$T$501,'A.4 RASHODI FUNK'!$A24,'Unos rashoda P4'!$I$3:$I$501)</f>
        <v>0</v>
      </c>
      <c r="E24" s="322">
        <f>SUMIF('Unos rashoda i izdataka'!$R$3:$R$524,'A.4 RASHODI FUNK'!$A24,'Unos rashoda i izdataka'!$L$3:$L$524)+SUMIF('Unos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izdataka'!$R$3:$R$524,'A.4 RASHODI FUNK'!$A25,'Unos rashoda i izdataka'!$J$3:$J$524)+SUMIF('Unos rashoda P4'!$T$3:$T$501,'A.4 RASHODI FUNK'!$A25,'Unos rashoda P4'!$H$3:$H$501)</f>
        <v>0</v>
      </c>
      <c r="D25" s="322">
        <f>SUMIF('Unos rashoda i izdataka'!$R$3:$R$524,'A.4 RASHODI FUNK'!$A25,'Unos rashoda i izdataka'!$K$3:$K$524)+SUMIF('Unos rashoda P4'!$T$3:$T$501,'A.4 RASHODI FUNK'!$A25,'Unos rashoda P4'!$I$3:$I$501)</f>
        <v>0</v>
      </c>
      <c r="E25" s="322">
        <f>SUMIF('Unos rashoda i izdataka'!$R$3:$R$524,'A.4 RASHODI FUNK'!$A25,'Unos rashoda i izdataka'!$L$3:$L$524)+SUMIF('Unos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izdataka'!$R$3:$R$524,'A.4 RASHODI FUNK'!$A26,'Unos rashoda i izdataka'!$J$3:$J$524)+SUMIF('Unos rashoda P4'!$T$3:$T$501,'A.4 RASHODI FUNK'!$A26,'Unos rashoda P4'!$H$3:$H$501)</f>
        <v>0</v>
      </c>
      <c r="D26" s="322">
        <f>SUMIF('Unos rashoda i izdataka'!$R$3:$R$524,'A.4 RASHODI FUNK'!$A26,'Unos rashoda i izdataka'!$K$3:$K$524)+SUMIF('Unos rashoda P4'!$T$3:$T$501,'A.4 RASHODI FUNK'!$A26,'Unos rashoda P4'!$I$3:$I$501)</f>
        <v>0</v>
      </c>
      <c r="E26" s="322">
        <f>SUMIF('Unos rashoda i izdataka'!$R$3:$R$524,'A.4 RASHODI FUNK'!$A26,'Unos rashoda i izdataka'!$L$3:$L$524)+SUMIF('Unos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izdataka'!$R$3:$R$524,'A.4 RASHODI FUNK'!$A27,'Unos rashoda i izdataka'!$J$3:$J$524)+SUMIF('Unos rashoda P4'!$T$3:$T$501,'A.4 RASHODI FUNK'!$A27,'Unos rashoda P4'!$H$3:$H$501)</f>
        <v>0</v>
      </c>
      <c r="D27" s="322">
        <f>SUMIF('Unos rashoda i izdataka'!$R$3:$R$524,'A.4 RASHODI FUNK'!$A27,'Unos rashoda i izdataka'!$K$3:$K$524)+SUMIF('Unos rashoda P4'!$T$3:$T$501,'A.4 RASHODI FUNK'!$A27,'Unos rashoda P4'!$I$3:$I$501)</f>
        <v>0</v>
      </c>
      <c r="E27" s="322">
        <f>SUMIF('Unos rashoda i izdataka'!$R$3:$R$524,'A.4 RASHODI FUNK'!$A27,'Unos rashoda i izdataka'!$L$3:$L$524)+SUMIF('Unos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izdataka'!$R$3:$R$524,'A.4 RASHODI FUNK'!$A29,'Unos rashoda i izdataka'!$J$3:$J$524)+SUMIF('Unos rashoda P4'!$T$3:$T$501,'A.4 RASHODI FUNK'!$A29,'Unos rashoda P4'!$H$3:$H$501)</f>
        <v>0</v>
      </c>
      <c r="D29" s="322">
        <f>SUMIF('Unos rashoda i izdataka'!$R$3:$R$524,'A.4 RASHODI FUNK'!$A29,'Unos rashoda i izdataka'!$K$3:$K$524)+SUMIF('Unos rashoda P4'!$T$3:$T$501,'A.4 RASHODI FUNK'!$A29,'Unos rashoda P4'!$I$3:$I$501)</f>
        <v>0</v>
      </c>
      <c r="E29" s="322">
        <f>SUMIF('Unos rashoda i izdataka'!$R$3:$R$524,'A.4 RASHODI FUNK'!$A29,'Unos rashoda i izdataka'!$L$3:$L$524)+SUMIF('Unos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izdataka'!$R$3:$R$524,'A.4 RASHODI FUNK'!$A30,'Unos rashoda i izdataka'!$J$3:$J$524)+SUMIF('Unos rashoda P4'!$T$3:$T$501,'A.4 RASHODI FUNK'!$A30,'Unos rashoda P4'!$H$3:$H$501)</f>
        <v>0</v>
      </c>
      <c r="D30" s="322">
        <f>SUMIF('Unos rashoda i izdataka'!$R$3:$R$524,'A.4 RASHODI FUNK'!$A30,'Unos rashoda i izdataka'!$K$3:$K$524)+SUMIF('Unos rashoda P4'!$T$3:$T$501,'A.4 RASHODI FUNK'!$A30,'Unos rashoda P4'!$I$3:$I$501)</f>
        <v>0</v>
      </c>
      <c r="E30" s="322">
        <f>SUMIF('Unos rashoda i izdataka'!$R$3:$R$524,'A.4 RASHODI FUNK'!$A30,'Unos rashoda i izdataka'!$L$3:$L$524)+SUMIF('Unos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izdataka'!$R$3:$R$524,'A.4 RASHODI FUNK'!$A31,'Unos rashoda i izdataka'!$J$3:$J$524)+SUMIF('Unos rashoda P4'!$T$3:$T$501,'A.4 RASHODI FUNK'!$A31,'Unos rashoda P4'!$H$3:$H$501)</f>
        <v>0</v>
      </c>
      <c r="D31" s="322">
        <f>SUMIF('Unos rashoda i izdataka'!$R$3:$R$524,'A.4 RASHODI FUNK'!$A31,'Unos rashoda i izdataka'!$K$3:$K$524)+SUMIF('Unos rashoda P4'!$T$3:$T$501,'A.4 RASHODI FUNK'!$A31,'Unos rashoda P4'!$I$3:$I$501)</f>
        <v>0</v>
      </c>
      <c r="E31" s="322">
        <f>SUMIF('Unos rashoda i izdataka'!$R$3:$R$524,'A.4 RASHODI FUNK'!$A31,'Unos rashoda i izdataka'!$L$3:$L$524)+SUMIF('Unos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izdataka'!$R$3:$R$524,'A.4 RASHODI FUNK'!$A32,'Unos rashoda i izdataka'!$J$3:$J$524)+SUMIF('Unos rashoda P4'!$T$3:$T$501,'A.4 RASHODI FUNK'!$A32,'Unos rashoda P4'!$H$3:$H$501)</f>
        <v>0</v>
      </c>
      <c r="D32" s="322">
        <f>SUMIF('Unos rashoda i izdataka'!$R$3:$R$524,'A.4 RASHODI FUNK'!$A32,'Unos rashoda i izdataka'!$K$3:$K$524)+SUMIF('Unos rashoda P4'!$T$3:$T$501,'A.4 RASHODI FUNK'!$A32,'Unos rashoda P4'!$I$3:$I$501)</f>
        <v>0</v>
      </c>
      <c r="E32" s="322">
        <f>SUMIF('Unos rashoda i izdataka'!$R$3:$R$524,'A.4 RASHODI FUNK'!$A32,'Unos rashoda i izdataka'!$L$3:$L$524)+SUMIF('Unos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izdataka'!$R$3:$R$524,'A.4 RASHODI FUNK'!$A33,'Unos rashoda i izdataka'!$J$3:$J$524)+SUMIF('Unos rashoda P4'!$T$3:$T$501,'A.4 RASHODI FUNK'!$A33,'Unos rashoda P4'!$H$3:$H$501)</f>
        <v>0</v>
      </c>
      <c r="D33" s="322">
        <f>SUMIF('Unos rashoda i izdataka'!$R$3:$R$524,'A.4 RASHODI FUNK'!$A33,'Unos rashoda i izdataka'!$K$3:$K$524)+SUMIF('Unos rashoda P4'!$T$3:$T$501,'A.4 RASHODI FUNK'!$A33,'Unos rashoda P4'!$I$3:$I$501)</f>
        <v>0</v>
      </c>
      <c r="E33" s="322">
        <f>SUMIF('Unos rashoda i izdataka'!$R$3:$R$524,'A.4 RASHODI FUNK'!$A33,'Unos rashoda i izdataka'!$L$3:$L$524)+SUMIF('Unos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izdataka'!$R$3:$R$524,'A.4 RASHODI FUNK'!$A34,'Unos rashoda i izdataka'!$J$3:$J$524)+SUMIF('Unos rashoda P4'!$T$3:$T$501,'A.4 RASHODI FUNK'!$A34,'Unos rashoda P4'!$H$3:$H$501)</f>
        <v>0</v>
      </c>
      <c r="D34" s="322">
        <f>SUMIF('Unos rashoda i izdataka'!$R$3:$R$524,'A.4 RASHODI FUNK'!$A34,'Unos rashoda i izdataka'!$K$3:$K$524)+SUMIF('Unos rashoda P4'!$T$3:$T$501,'A.4 RASHODI FUNK'!$A34,'Unos rashoda P4'!$I$3:$I$501)</f>
        <v>0</v>
      </c>
      <c r="E34" s="322">
        <f>SUMIF('Unos rashoda i izdataka'!$R$3:$R$524,'A.4 RASHODI FUNK'!$A34,'Unos rashoda i izdataka'!$L$3:$L$524)+SUMIF('Unos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izdataka'!$R$3:$R$524,'A.4 RASHODI FUNK'!$A35,'Unos rashoda i izdataka'!$J$3:$J$524)+SUMIF('Unos rashoda P4'!$T$3:$T$501,'A.4 RASHODI FUNK'!$A35,'Unos rashoda P4'!$H$3:$H$501)</f>
        <v>0</v>
      </c>
      <c r="D35" s="322">
        <f>SUMIF('Unos rashoda i izdataka'!$R$3:$R$524,'A.4 RASHODI FUNK'!$A35,'Unos rashoda i izdataka'!$K$3:$K$524)+SUMIF('Unos rashoda P4'!$T$3:$T$501,'A.4 RASHODI FUNK'!$A35,'Unos rashoda P4'!$I$3:$I$501)</f>
        <v>0</v>
      </c>
      <c r="E35" s="322">
        <f>SUMIF('Unos rashoda i izdataka'!$R$3:$R$524,'A.4 RASHODI FUNK'!$A35,'Unos rashoda i izdataka'!$L$3:$L$524)+SUMIF('Unos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izdataka'!$R$3:$R$524,'A.4 RASHODI FUNK'!$A36,'Unos rashoda i izdataka'!$J$3:$J$524)+SUMIF('Unos rashoda P4'!$T$3:$T$501,'A.4 RASHODI FUNK'!$A36,'Unos rashoda P4'!$H$3:$H$501)</f>
        <v>0</v>
      </c>
      <c r="D36" s="322">
        <f>SUMIF('Unos rashoda i izdataka'!$R$3:$R$524,'A.4 RASHODI FUNK'!$A36,'Unos rashoda i izdataka'!$K$3:$K$524)+SUMIF('Unos rashoda P4'!$T$3:$T$501,'A.4 RASHODI FUNK'!$A36,'Unos rashoda P4'!$I$3:$I$501)</f>
        <v>0</v>
      </c>
      <c r="E36" s="322">
        <f>SUMIF('Unos rashoda i izdataka'!$R$3:$R$524,'A.4 RASHODI FUNK'!$A36,'Unos rashoda i izdataka'!$L$3:$L$524)+SUMIF('Unos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izdataka'!$R$3:$R$524,'A.4 RASHODI FUNK'!$A37,'Unos rashoda i izdataka'!$J$3:$J$524)+SUMIF('Unos rashoda P4'!$T$3:$T$501,'A.4 RASHODI FUNK'!$A37,'Unos rashoda P4'!$H$3:$H$501)</f>
        <v>0</v>
      </c>
      <c r="D37" s="322">
        <f>SUMIF('Unos rashoda i izdataka'!$R$3:$R$524,'A.4 RASHODI FUNK'!$A37,'Unos rashoda i izdataka'!$K$3:$K$524)+SUMIF('Unos rashoda P4'!$T$3:$T$501,'A.4 RASHODI FUNK'!$A37,'Unos rashoda P4'!$I$3:$I$501)</f>
        <v>0</v>
      </c>
      <c r="E37" s="322">
        <f>SUMIF('Unos rashoda i izdataka'!$R$3:$R$524,'A.4 RASHODI FUNK'!$A37,'Unos rashoda i izdataka'!$L$3:$L$524)+SUMIF('Unos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izdataka'!$R$3:$R$524,'A.4 RASHODI FUNK'!$A39,'Unos rashoda i izdataka'!$J$3:$J$524)+SUMIF('Unos rashoda P4'!$T$3:$T$501,'A.4 RASHODI FUNK'!$A39,'Unos rashoda P4'!$H$3:$H$501)</f>
        <v>0</v>
      </c>
      <c r="D39" s="322">
        <f>SUMIF('Unos rashoda i izdataka'!$R$3:$R$524,'A.4 RASHODI FUNK'!$A39,'Unos rashoda i izdataka'!$K$3:$K$524)+SUMIF('Unos rashoda P4'!$T$3:$T$501,'A.4 RASHODI FUNK'!$A39,'Unos rashoda P4'!$I$3:$I$501)</f>
        <v>0</v>
      </c>
      <c r="E39" s="322">
        <f>SUMIF('Unos rashoda i izdataka'!$R$3:$R$524,'A.4 RASHODI FUNK'!$A39,'Unos rashoda i izdataka'!$L$3:$L$524)+SUMIF('Unos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izdataka'!$R$3:$R$524,'A.4 RASHODI FUNK'!$A40,'Unos rashoda i izdataka'!$J$3:$J$524)+SUMIF('Unos rashoda P4'!$T$3:$T$501,'A.4 RASHODI FUNK'!$A40,'Unos rashoda P4'!$H$3:$H$501)</f>
        <v>0</v>
      </c>
      <c r="D40" s="322">
        <f>SUMIF('Unos rashoda i izdataka'!$R$3:$R$524,'A.4 RASHODI FUNK'!$A40,'Unos rashoda i izdataka'!$K$3:$K$524)+SUMIF('Unos rashoda P4'!$T$3:$T$501,'A.4 RASHODI FUNK'!$A40,'Unos rashoda P4'!$I$3:$I$501)</f>
        <v>0</v>
      </c>
      <c r="E40" s="322">
        <f>SUMIF('Unos rashoda i izdataka'!$R$3:$R$524,'A.4 RASHODI FUNK'!$A40,'Unos rashoda i izdataka'!$L$3:$L$524)+SUMIF('Unos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izdataka'!$R$3:$R$524,'A.4 RASHODI FUNK'!$A41,'Unos rashoda i izdataka'!$J$3:$J$524)+SUMIF('Unos rashoda P4'!$T$3:$T$501,'A.4 RASHODI FUNK'!$A41,'Unos rashoda P4'!$H$3:$H$501)</f>
        <v>0</v>
      </c>
      <c r="D41" s="322">
        <f>SUMIF('Unos rashoda i izdataka'!$R$3:$R$524,'A.4 RASHODI FUNK'!$A41,'Unos rashoda i izdataka'!$K$3:$K$524)+SUMIF('Unos rashoda P4'!$T$3:$T$501,'A.4 RASHODI FUNK'!$A41,'Unos rashoda P4'!$I$3:$I$501)</f>
        <v>0</v>
      </c>
      <c r="E41" s="322">
        <f>SUMIF('Unos rashoda i izdataka'!$R$3:$R$524,'A.4 RASHODI FUNK'!$A41,'Unos rashoda i izdataka'!$L$3:$L$524)+SUMIF('Unos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izdataka'!$R$3:$R$524,'A.4 RASHODI FUNK'!$A42,'Unos rashoda i izdataka'!$J$3:$J$524)+SUMIF('Unos rashoda P4'!$T$3:$T$501,'A.4 RASHODI FUNK'!$A42,'Unos rashoda P4'!$H$3:$H$501)</f>
        <v>0</v>
      </c>
      <c r="D42" s="322">
        <f>SUMIF('Unos rashoda i izdataka'!$R$3:$R$524,'A.4 RASHODI FUNK'!$A42,'Unos rashoda i izdataka'!$K$3:$K$524)+SUMIF('Unos rashoda P4'!$T$3:$T$501,'A.4 RASHODI FUNK'!$A42,'Unos rashoda P4'!$I$3:$I$501)</f>
        <v>0</v>
      </c>
      <c r="E42" s="322">
        <f>SUMIF('Unos rashoda i izdataka'!$R$3:$R$524,'A.4 RASHODI FUNK'!$A42,'Unos rashoda i izdataka'!$L$3:$L$524)+SUMIF('Unos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izdataka'!$R$3:$R$524,'A.4 RASHODI FUNK'!$A43,'Unos rashoda i izdataka'!$J$3:$J$524)+SUMIF('Unos rashoda P4'!$T$3:$T$501,'A.4 RASHODI FUNK'!$A43,'Unos rashoda P4'!$H$3:$H$501)</f>
        <v>0</v>
      </c>
      <c r="D43" s="322">
        <f>SUMIF('Unos rashoda i izdataka'!$R$3:$R$524,'A.4 RASHODI FUNK'!$A43,'Unos rashoda i izdataka'!$K$3:$K$524)+SUMIF('Unos rashoda P4'!$T$3:$T$501,'A.4 RASHODI FUNK'!$A43,'Unos rashoda P4'!$I$3:$I$501)</f>
        <v>0</v>
      </c>
      <c r="E43" s="322">
        <f>SUMIF('Unos rashoda i izdataka'!$R$3:$R$524,'A.4 RASHODI FUNK'!$A43,'Unos rashoda i izdataka'!$L$3:$L$524)+SUMIF('Unos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izdataka'!$R$3:$R$524,'A.4 RASHODI FUNK'!$A44,'Unos rashoda i izdataka'!$J$3:$J$524)+SUMIF('Unos rashoda P4'!$T$3:$T$501,'A.4 RASHODI FUNK'!$A44,'Unos rashoda P4'!$H$3:$H$501)</f>
        <v>0</v>
      </c>
      <c r="D44" s="322">
        <f>SUMIF('Unos rashoda i izdataka'!$R$3:$R$524,'A.4 RASHODI FUNK'!$A44,'Unos rashoda i izdataka'!$K$3:$K$524)+SUMIF('Unos rashoda P4'!$T$3:$T$501,'A.4 RASHODI FUNK'!$A44,'Unos rashoda P4'!$I$3:$I$501)</f>
        <v>0</v>
      </c>
      <c r="E44" s="322">
        <f>SUMIF('Unos rashoda i izdataka'!$R$3:$R$524,'A.4 RASHODI FUNK'!$A44,'Unos rashoda i izdataka'!$L$3:$L$524)+SUMIF('Unos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izdataka'!$R$3:$R$524,'A.4 RASHODI FUNK'!$A46,'Unos rashoda i izdataka'!$J$3:$J$524)+SUMIF('Unos rashoda P4'!$T$3:$T$501,'A.4 RASHODI FUNK'!$A46,'Unos rashoda P4'!$H$3:$H$501)</f>
        <v>0</v>
      </c>
      <c r="D46" s="322">
        <f>SUMIF('Unos rashoda i izdataka'!$R$3:$R$524,'A.4 RASHODI FUNK'!$A46,'Unos rashoda i izdataka'!$K$3:$K$524)+SUMIF('Unos rashoda P4'!$T$3:$T$501,'A.4 RASHODI FUNK'!$A46,'Unos rashoda P4'!$I$3:$I$501)</f>
        <v>0</v>
      </c>
      <c r="E46" s="322">
        <f>SUMIF('Unos rashoda i izdataka'!$R$3:$R$524,'A.4 RASHODI FUNK'!$A46,'Unos rashoda i izdataka'!$L$3:$L$524)+SUMIF('Unos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izdataka'!$R$3:$R$524,'A.4 RASHODI FUNK'!$A47,'Unos rashoda i izdataka'!$J$3:$J$524)+SUMIF('Unos rashoda P4'!$T$3:$T$501,'A.4 RASHODI FUNK'!$A47,'Unos rashoda P4'!$H$3:$H$501)</f>
        <v>0</v>
      </c>
      <c r="D47" s="322">
        <f>SUMIF('Unos rashoda i izdataka'!$R$3:$R$524,'A.4 RASHODI FUNK'!$A47,'Unos rashoda i izdataka'!$K$3:$K$524)+SUMIF('Unos rashoda P4'!$T$3:$T$501,'A.4 RASHODI FUNK'!$A47,'Unos rashoda P4'!$I$3:$I$501)</f>
        <v>0</v>
      </c>
      <c r="E47" s="322">
        <f>SUMIF('Unos rashoda i izdataka'!$R$3:$R$524,'A.4 RASHODI FUNK'!$A47,'Unos rashoda i izdataka'!$L$3:$L$524)+SUMIF('Unos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izdataka'!$R$3:$R$524,'A.4 RASHODI FUNK'!$A48,'Unos rashoda i izdataka'!$J$3:$J$524)+SUMIF('Unos rashoda P4'!$T$3:$T$501,'A.4 RASHODI FUNK'!$A48,'Unos rashoda P4'!$H$3:$H$501)</f>
        <v>0</v>
      </c>
      <c r="D48" s="322">
        <f>SUMIF('Unos rashoda i izdataka'!$R$3:$R$524,'A.4 RASHODI FUNK'!$A48,'Unos rashoda i izdataka'!$K$3:$K$524)+SUMIF('Unos rashoda P4'!$T$3:$T$501,'A.4 RASHODI FUNK'!$A48,'Unos rashoda P4'!$I$3:$I$501)</f>
        <v>0</v>
      </c>
      <c r="E48" s="322">
        <f>SUMIF('Unos rashoda i izdataka'!$R$3:$R$524,'A.4 RASHODI FUNK'!$A48,'Unos rashoda i izdataka'!$L$3:$L$524)+SUMIF('Unos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izdataka'!$R$3:$R$524,'A.4 RASHODI FUNK'!$A49,'Unos rashoda i izdataka'!$J$3:$J$524)+SUMIF('Unos rashoda P4'!$T$3:$T$501,'A.4 RASHODI FUNK'!$A49,'Unos rashoda P4'!$H$3:$H$501)</f>
        <v>0</v>
      </c>
      <c r="D49" s="322">
        <f>SUMIF('Unos rashoda i izdataka'!$R$3:$R$524,'A.4 RASHODI FUNK'!$A49,'Unos rashoda i izdataka'!$K$3:$K$524)+SUMIF('Unos rashoda P4'!$T$3:$T$501,'A.4 RASHODI FUNK'!$A49,'Unos rashoda P4'!$I$3:$I$501)</f>
        <v>0</v>
      </c>
      <c r="E49" s="322">
        <f>SUMIF('Unos rashoda i izdataka'!$R$3:$R$524,'A.4 RASHODI FUNK'!$A49,'Unos rashoda i izdataka'!$L$3:$L$524)+SUMIF('Unos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izdataka'!$R$3:$R$524,'A.4 RASHODI FUNK'!$A50,'Unos rashoda i izdataka'!$J$3:$J$524)+SUMIF('Unos rashoda P4'!$T$3:$T$501,'A.4 RASHODI FUNK'!$A50,'Unos rashoda P4'!$H$3:$H$501)</f>
        <v>0</v>
      </c>
      <c r="D50" s="322">
        <f>SUMIF('Unos rashoda i izdataka'!$R$3:$R$524,'A.4 RASHODI FUNK'!$A50,'Unos rashoda i izdataka'!$K$3:$K$524)+SUMIF('Unos rashoda P4'!$T$3:$T$501,'A.4 RASHODI FUNK'!$A50,'Unos rashoda P4'!$I$3:$I$501)</f>
        <v>0</v>
      </c>
      <c r="E50" s="322">
        <f>SUMIF('Unos rashoda i izdataka'!$R$3:$R$524,'A.4 RASHODI FUNK'!$A50,'Unos rashoda i izdataka'!$L$3:$L$524)+SUMIF('Unos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izdataka'!$R$3:$R$524,'A.4 RASHODI FUNK'!$A51,'Unos rashoda i izdataka'!$J$3:$J$524)+SUMIF('Unos rashoda P4'!$T$3:$T$501,'A.4 RASHODI FUNK'!$A51,'Unos rashoda P4'!$H$3:$H$501)</f>
        <v>0</v>
      </c>
      <c r="D51" s="322">
        <f>SUMIF('Unos rashoda i izdataka'!$R$3:$R$524,'A.4 RASHODI FUNK'!$A51,'Unos rashoda i izdataka'!$K$3:$K$524)+SUMIF('Unos rashoda P4'!$T$3:$T$501,'A.4 RASHODI FUNK'!$A51,'Unos rashoda P4'!$I$3:$I$501)</f>
        <v>0</v>
      </c>
      <c r="E51" s="322">
        <f>SUMIF('Unos rashoda i izdataka'!$R$3:$R$524,'A.4 RASHODI FUNK'!$A51,'Unos rashoda i izdataka'!$L$3:$L$524)+SUMIF('Unos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izdataka'!$R$3:$R$524,'A.4 RASHODI FUNK'!$A53,'Unos rashoda i izdataka'!$J$3:$J$524)+SUMIF('Unos rashoda P4'!$T$3:$T$501,'A.4 RASHODI FUNK'!$A53,'Unos rashoda P4'!$H$3:$H$501)</f>
        <v>0</v>
      </c>
      <c r="D53" s="322">
        <f>SUMIF('Unos rashoda i izdataka'!$R$3:$R$524,'A.4 RASHODI FUNK'!$A53,'Unos rashoda i izdataka'!$K$3:$K$524)+SUMIF('Unos rashoda P4'!$T$3:$T$501,'A.4 RASHODI FUNK'!$A53,'Unos rashoda P4'!$I$3:$I$501)</f>
        <v>0</v>
      </c>
      <c r="E53" s="322">
        <f>SUMIF('Unos rashoda i izdataka'!$R$3:$R$524,'A.4 RASHODI FUNK'!$A53,'Unos rashoda i izdataka'!$L$3:$L$524)+SUMIF('Unos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izdataka'!$R$3:$R$524,'A.4 RASHODI FUNK'!$A54,'Unos rashoda i izdataka'!$J$3:$J$524)+SUMIF('Unos rashoda P4'!$T$3:$T$501,'A.4 RASHODI FUNK'!$A54,'Unos rashoda P4'!$H$3:$H$501)</f>
        <v>0</v>
      </c>
      <c r="D54" s="322">
        <f>SUMIF('Unos rashoda i izdataka'!$R$3:$R$524,'A.4 RASHODI FUNK'!$A54,'Unos rashoda i izdataka'!$K$3:$K$524)+SUMIF('Unos rashoda P4'!$T$3:$T$501,'A.4 RASHODI FUNK'!$A54,'Unos rashoda P4'!$I$3:$I$501)</f>
        <v>0</v>
      </c>
      <c r="E54" s="322">
        <f>SUMIF('Unos rashoda i izdataka'!$R$3:$R$524,'A.4 RASHODI FUNK'!$A54,'Unos rashoda i izdataka'!$L$3:$L$524)+SUMIF('Unos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izdataka'!$R$3:$R$524,'A.4 RASHODI FUNK'!$A55,'Unos rashoda i izdataka'!$J$3:$J$524)+SUMIF('Unos rashoda P4'!$T$3:$T$501,'A.4 RASHODI FUNK'!$A55,'Unos rashoda P4'!$H$3:$H$501)</f>
        <v>0</v>
      </c>
      <c r="D55" s="322">
        <f>SUMIF('Unos rashoda i izdataka'!$R$3:$R$524,'A.4 RASHODI FUNK'!$A55,'Unos rashoda i izdataka'!$K$3:$K$524)+SUMIF('Unos rashoda P4'!$T$3:$T$501,'A.4 RASHODI FUNK'!$A55,'Unos rashoda P4'!$I$3:$I$501)</f>
        <v>0</v>
      </c>
      <c r="E55" s="322">
        <f>SUMIF('Unos rashoda i izdataka'!$R$3:$R$524,'A.4 RASHODI FUNK'!$A55,'Unos rashoda i izdataka'!$L$3:$L$524)+SUMIF('Unos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izdataka'!$R$3:$R$524,'A.4 RASHODI FUNK'!$A56,'Unos rashoda i izdataka'!$J$3:$J$524)+SUMIF('Unos rashoda P4'!$T$3:$T$501,'A.4 RASHODI FUNK'!$A56,'Unos rashoda P4'!$H$3:$H$501)</f>
        <v>0</v>
      </c>
      <c r="D56" s="322">
        <f>SUMIF('Unos rashoda i izdataka'!$R$3:$R$524,'A.4 RASHODI FUNK'!$A56,'Unos rashoda i izdataka'!$K$3:$K$524)+SUMIF('Unos rashoda P4'!$T$3:$T$501,'A.4 RASHODI FUNK'!$A56,'Unos rashoda P4'!$I$3:$I$501)</f>
        <v>0</v>
      </c>
      <c r="E56" s="322">
        <f>SUMIF('Unos rashoda i izdataka'!$R$3:$R$524,'A.4 RASHODI FUNK'!$A56,'Unos rashoda i izdataka'!$L$3:$L$524)+SUMIF('Unos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izdataka'!$R$3:$R$524,'A.4 RASHODI FUNK'!$A57,'Unos rashoda i izdataka'!$J$3:$J$524)+SUMIF('Unos rashoda P4'!$T$3:$T$501,'A.4 RASHODI FUNK'!$A57,'Unos rashoda P4'!$H$3:$H$501)</f>
        <v>0</v>
      </c>
      <c r="D57" s="322">
        <f>SUMIF('Unos rashoda i izdataka'!$R$3:$R$524,'A.4 RASHODI FUNK'!$A57,'Unos rashoda i izdataka'!$K$3:$K$524)+SUMIF('Unos rashoda P4'!$T$3:$T$501,'A.4 RASHODI FUNK'!$A57,'Unos rashoda P4'!$I$3:$I$501)</f>
        <v>0</v>
      </c>
      <c r="E57" s="322">
        <f>SUMIF('Unos rashoda i izdataka'!$R$3:$R$524,'A.4 RASHODI FUNK'!$A57,'Unos rashoda i izdataka'!$L$3:$L$524)+SUMIF('Unos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izdataka'!$R$3:$R$524,'A.4 RASHODI FUNK'!$A58,'Unos rashoda i izdataka'!$J$3:$J$524)+SUMIF('Unos rashoda P4'!$T$3:$T$501,'A.4 RASHODI FUNK'!$A58,'Unos rashoda P4'!$H$3:$H$501)</f>
        <v>0</v>
      </c>
      <c r="D58" s="322">
        <f>SUMIF('Unos rashoda i izdataka'!$R$3:$R$524,'A.4 RASHODI FUNK'!$A58,'Unos rashoda i izdataka'!$K$3:$K$524)+SUMIF('Unos rashoda P4'!$T$3:$T$501,'A.4 RASHODI FUNK'!$A58,'Unos rashoda P4'!$I$3:$I$501)</f>
        <v>0</v>
      </c>
      <c r="E58" s="322">
        <f>SUMIF('Unos rashoda i izdataka'!$R$3:$R$524,'A.4 RASHODI FUNK'!$A58,'Unos rashoda i izdataka'!$L$3:$L$524)+SUMIF('Unos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izdataka'!$R$3:$R$524,'A.4 RASHODI FUNK'!$A60,'Unos rashoda i izdataka'!$J$3:$J$524)+SUMIF('Unos rashoda P4'!$T$3:$T$501,'A.4 RASHODI FUNK'!$A60,'Unos rashoda P4'!$H$3:$H$501)</f>
        <v>0</v>
      </c>
      <c r="D60" s="322">
        <f>SUMIF('Unos rashoda i izdataka'!$R$3:$R$524,'A.4 RASHODI FUNK'!$A60,'Unos rashoda i izdataka'!$K$3:$K$524)+SUMIF('Unos rashoda P4'!$T$3:$T$501,'A.4 RASHODI FUNK'!$A60,'Unos rashoda P4'!$I$3:$I$501)</f>
        <v>0</v>
      </c>
      <c r="E60" s="322">
        <f>SUMIF('Unos rashoda i izdataka'!$R$3:$R$524,'A.4 RASHODI FUNK'!$A60,'Unos rashoda i izdataka'!$L$3:$L$524)+SUMIF('Unos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izdataka'!$R$3:$R$524,'A.4 RASHODI FUNK'!$A61,'Unos rashoda i izdataka'!$J$3:$J$524)+SUMIF('Unos rashoda P4'!$T$3:$T$501,'A.4 RASHODI FUNK'!$A61,'Unos rashoda P4'!$H$3:$H$501)</f>
        <v>0</v>
      </c>
      <c r="D61" s="322">
        <f>SUMIF('Unos rashoda i izdataka'!$R$3:$R$524,'A.4 RASHODI FUNK'!$A61,'Unos rashoda i izdataka'!$K$3:$K$524)+SUMIF('Unos rashoda P4'!$T$3:$T$501,'A.4 RASHODI FUNK'!$A61,'Unos rashoda P4'!$I$3:$I$501)</f>
        <v>0</v>
      </c>
      <c r="E61" s="322">
        <f>SUMIF('Unos rashoda i izdataka'!$R$3:$R$524,'A.4 RASHODI FUNK'!$A61,'Unos rashoda i izdataka'!$L$3:$L$524)+SUMIF('Unos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izdataka'!$R$3:$R$524,'A.4 RASHODI FUNK'!$A62,'Unos rashoda i izdataka'!$J$3:$J$524)+SUMIF('Unos rashoda P4'!$T$3:$T$501,'A.4 RASHODI FUNK'!$A62,'Unos rashoda P4'!$H$3:$H$501)</f>
        <v>0</v>
      </c>
      <c r="D62" s="322">
        <f>SUMIF('Unos rashoda i izdataka'!$R$3:$R$524,'A.4 RASHODI FUNK'!$A62,'Unos rashoda i izdataka'!$K$3:$K$524)+SUMIF('Unos rashoda P4'!$T$3:$T$501,'A.4 RASHODI FUNK'!$A62,'Unos rashoda P4'!$I$3:$I$501)</f>
        <v>0</v>
      </c>
      <c r="E62" s="322">
        <f>SUMIF('Unos rashoda i izdataka'!$R$3:$R$524,'A.4 RASHODI FUNK'!$A62,'Unos rashoda i izdataka'!$L$3:$L$524)+SUMIF('Unos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izdataka'!$R$3:$R$524,'A.4 RASHODI FUNK'!$A63,'Unos rashoda i izdataka'!$J$3:$J$524)+SUMIF('Unos rashoda P4'!$T$3:$T$501,'A.4 RASHODI FUNK'!$A63,'Unos rashoda P4'!$H$3:$H$501)</f>
        <v>0</v>
      </c>
      <c r="D63" s="322">
        <f>SUMIF('Unos rashoda i izdataka'!$R$3:$R$524,'A.4 RASHODI FUNK'!$A63,'Unos rashoda i izdataka'!$K$3:$K$524)+SUMIF('Unos rashoda P4'!$T$3:$T$501,'A.4 RASHODI FUNK'!$A63,'Unos rashoda P4'!$I$3:$I$501)</f>
        <v>0</v>
      </c>
      <c r="E63" s="322">
        <f>SUMIF('Unos rashoda i izdataka'!$R$3:$R$524,'A.4 RASHODI FUNK'!$A63,'Unos rashoda i izdataka'!$L$3:$L$524)+SUMIF('Unos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izdataka'!$R$3:$R$524,'A.4 RASHODI FUNK'!$A64,'Unos rashoda i izdataka'!$J$3:$J$524)+SUMIF('Unos rashoda P4'!$T$3:$T$501,'A.4 RASHODI FUNK'!$A64,'Unos rashoda P4'!$H$3:$H$501)</f>
        <v>0</v>
      </c>
      <c r="D64" s="322">
        <f>SUMIF('Unos rashoda i izdataka'!$R$3:$R$524,'A.4 RASHODI FUNK'!$A64,'Unos rashoda i izdataka'!$K$3:$K$524)+SUMIF('Unos rashoda P4'!$T$3:$T$501,'A.4 RASHODI FUNK'!$A64,'Unos rashoda P4'!$I$3:$I$501)</f>
        <v>0</v>
      </c>
      <c r="E64" s="322">
        <f>SUMIF('Unos rashoda i izdataka'!$R$3:$R$524,'A.4 RASHODI FUNK'!$A64,'Unos rashoda i izdataka'!$L$3:$L$524)+SUMIF('Unos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izdataka'!$R$3:$R$524,'A.4 RASHODI FUNK'!$A65,'Unos rashoda i izdataka'!$J$3:$J$524)+SUMIF('Unos rashoda P4'!$T$3:$T$501,'A.4 RASHODI FUNK'!$A65,'Unos rashoda P4'!$H$3:$H$501)</f>
        <v>0</v>
      </c>
      <c r="D65" s="322">
        <f>SUMIF('Unos rashoda i izdataka'!$R$3:$R$524,'A.4 RASHODI FUNK'!$A65,'Unos rashoda i izdataka'!$K$3:$K$524)+SUMIF('Unos rashoda P4'!$T$3:$T$501,'A.4 RASHODI FUNK'!$A65,'Unos rashoda P4'!$I$3:$I$501)</f>
        <v>0</v>
      </c>
      <c r="E65" s="322">
        <f>SUMIF('Unos rashoda i izdataka'!$R$3:$R$524,'A.4 RASHODI FUNK'!$A65,'Unos rashoda i izdataka'!$L$3:$L$524)+SUMIF('Unos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770553</v>
      </c>
      <c r="D66" s="328">
        <f>SUM(D67:D74)</f>
        <v>84738</v>
      </c>
      <c r="E66" s="328">
        <f>SUM(E67:E74)</f>
        <v>855291</v>
      </c>
    </row>
    <row r="67" spans="1:5">
      <c r="A67" s="315">
        <v>91</v>
      </c>
      <c r="B67" s="43" t="s">
        <v>5236</v>
      </c>
      <c r="C67" s="322">
        <f>SUMIF('Unos rashoda i izdataka'!$R$3:$R$524,'A.4 RASHODI FUNK'!$A67,'Unos rashoda i izdataka'!$J$3:$J$524)+SUMIF('Unos rashoda P4'!$T$3:$T$501,'A.4 RASHODI FUNK'!$A67,'Unos rashoda P4'!$H$3:$H$501)</f>
        <v>0</v>
      </c>
      <c r="D67" s="322">
        <f>SUMIF('Unos rashoda i izdataka'!$R$3:$R$524,'A.4 RASHODI FUNK'!$A67,'Unos rashoda i izdataka'!$K$3:$K$524)+SUMIF('Unos rashoda P4'!$T$3:$T$501,'A.4 RASHODI FUNK'!$A67,'Unos rashoda P4'!$I$3:$I$501)</f>
        <v>0</v>
      </c>
      <c r="E67" s="322">
        <f>SUMIF('Unos rashoda i izdataka'!$R$3:$R$524,'A.4 RASHODI FUNK'!$A67,'Unos rashoda i izdataka'!$L$3:$L$524)+SUMIF('Unos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izdataka'!$R$3:$R$524,'A.4 RASHODI FUNK'!$A68,'Unos rashoda i izdataka'!$J$3:$J$524)+SUMIF('Unos rashoda P4'!$T$3:$T$501,'A.4 RASHODI FUNK'!$A68,'Unos rashoda P4'!$H$3:$H$501)</f>
        <v>0</v>
      </c>
      <c r="D68" s="322">
        <f>SUMIF('Unos rashoda i izdataka'!$R$3:$R$524,'A.4 RASHODI FUNK'!$A68,'Unos rashoda i izdataka'!$K$3:$K$524)+SUMIF('Unos rashoda P4'!$T$3:$T$501,'A.4 RASHODI FUNK'!$A68,'Unos rashoda P4'!$I$3:$I$501)</f>
        <v>0</v>
      </c>
      <c r="E68" s="322">
        <f>SUMIF('Unos rashoda i izdataka'!$R$3:$R$524,'A.4 RASHODI FUNK'!$A68,'Unos rashoda i izdataka'!$L$3:$L$524)+SUMIF('Unos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izdataka'!$R$3:$R$524,'A.4 RASHODI FUNK'!$A69,'Unos rashoda i izdataka'!$J$3:$J$524)+SUMIF('Unos rashoda P4'!$T$3:$T$501,'A.4 RASHODI FUNK'!$A69,'Unos rashoda P4'!$H$3:$H$501)</f>
        <v>0</v>
      </c>
      <c r="D69" s="322">
        <f>SUMIF('Unos rashoda i izdataka'!$R$3:$R$524,'A.4 RASHODI FUNK'!$A69,'Unos rashoda i izdataka'!$K$3:$K$524)+SUMIF('Unos rashoda P4'!$T$3:$T$501,'A.4 RASHODI FUNK'!$A69,'Unos rashoda P4'!$I$3:$I$501)</f>
        <v>0</v>
      </c>
      <c r="E69" s="322">
        <f>SUMIF('Unos rashoda i izdataka'!$R$3:$R$524,'A.4 RASHODI FUNK'!$A69,'Unos rashoda i izdataka'!$L$3:$L$524)+SUMIF('Unos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izdataka'!$R$3:$R$524,'A.4 RASHODI FUNK'!$A70,'Unos rashoda i izdataka'!$J$3:$J$524)+SUMIF('Unos rashoda P4'!$T$3:$T$501,'A.4 RASHODI FUNK'!$A70,'Unos rashoda P4'!$H$3:$H$501)</f>
        <v>770553</v>
      </c>
      <c r="D70" s="322">
        <f>SUMIF('Unos rashoda i izdataka'!$R$3:$R$524,'A.4 RASHODI FUNK'!$A70,'Unos rashoda i izdataka'!$K$3:$K$524)+SUMIF('Unos rashoda P4'!$T$3:$T$501,'A.4 RASHODI FUNK'!$A70,'Unos rashoda P4'!$I$3:$I$501)</f>
        <v>84738</v>
      </c>
      <c r="E70" s="322">
        <f>SUMIF('Unos rashoda i izdataka'!$R$3:$R$524,'A.4 RASHODI FUNK'!$A70,'Unos rashoda i izdataka'!$L$3:$L$524)+SUMIF('Unos rashoda P4'!$T$3:$T$501,'A.4 RASHODI FUNK'!$A70,'Unos rashoda P4'!$J$3:$J$501)</f>
        <v>855291</v>
      </c>
    </row>
    <row r="71" spans="1:5">
      <c r="A71" s="315">
        <v>95</v>
      </c>
      <c r="B71" s="43" t="s">
        <v>5160</v>
      </c>
      <c r="C71" s="322">
        <f>SUMIF('Unos rashoda i izdataka'!$R$3:$R$524,'A.4 RASHODI FUNK'!$A71,'Unos rashoda i izdataka'!$J$3:$J$524)+SUMIF('Unos rashoda P4'!$T$3:$T$501,'A.4 RASHODI FUNK'!$A71,'Unos rashoda P4'!$H$3:$H$501)</f>
        <v>0</v>
      </c>
      <c r="D71" s="322">
        <f>SUMIF('Unos rashoda i izdataka'!$R$3:$R$524,'A.4 RASHODI FUNK'!$A71,'Unos rashoda i izdataka'!$K$3:$K$524)+SUMIF('Unos rashoda P4'!$T$3:$T$501,'A.4 RASHODI FUNK'!$A71,'Unos rashoda P4'!$I$3:$I$501)</f>
        <v>0</v>
      </c>
      <c r="E71" s="322">
        <f>SUMIF('Unos rashoda i izdataka'!$R$3:$R$524,'A.4 RASHODI FUNK'!$A71,'Unos rashoda i izdataka'!$L$3:$L$524)+SUMIF('Unos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izdataka'!$R$3:$R$524,'A.4 RASHODI FUNK'!$A72,'Unos rashoda i izdataka'!$J$3:$J$524)+SUMIF('Unos rashoda P4'!$T$3:$T$501,'A.4 RASHODI FUNK'!$A72,'Unos rashoda P4'!$H$3:$H$501)</f>
        <v>0</v>
      </c>
      <c r="D72" s="322">
        <f>SUMIF('Unos rashoda i izdataka'!$R$3:$R$524,'A.4 RASHODI FUNK'!$A72,'Unos rashoda i izdataka'!$K$3:$K$524)+SUMIF('Unos rashoda P4'!$T$3:$T$501,'A.4 RASHODI FUNK'!$A72,'Unos rashoda P4'!$I$3:$I$501)</f>
        <v>0</v>
      </c>
      <c r="E72" s="322">
        <f>SUMIF('Unos rashoda i izdataka'!$R$3:$R$524,'A.4 RASHODI FUNK'!$A72,'Unos rashoda i izdataka'!$L$3:$L$524)+SUMIF('Unos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izdataka'!$R$3:$R$524,'A.4 RASHODI FUNK'!$A73,'Unos rashoda i izdataka'!$J$3:$J$524)+SUMIF('Unos rashoda P4'!$T$3:$T$501,'A.4 RASHODI FUNK'!$A73,'Unos rashoda P4'!$H$3:$H$501)</f>
        <v>0</v>
      </c>
      <c r="D73" s="322">
        <f>SUMIF('Unos rashoda i izdataka'!$R$3:$R$524,'A.4 RASHODI FUNK'!$A73,'Unos rashoda i izdataka'!$K$3:$K$524)+SUMIF('Unos rashoda P4'!$T$3:$T$501,'A.4 RASHODI FUNK'!$A73,'Unos rashoda P4'!$I$3:$I$501)</f>
        <v>0</v>
      </c>
      <c r="E73" s="322">
        <f>SUMIF('Unos rashoda i izdataka'!$R$3:$R$524,'A.4 RASHODI FUNK'!$A73,'Unos rashoda i izdataka'!$L$3:$L$524)+SUMIF('Unos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izdataka'!$R$3:$R$524,'A.4 RASHODI FUNK'!$A74,'Unos rashoda i izdataka'!$J$3:$J$524)+SUMIF('Unos rashoda P4'!$T$3:$T$501,'A.4 RASHODI FUNK'!$A74,'Unos rashoda P4'!$H$3:$H$501)</f>
        <v>0</v>
      </c>
      <c r="D74" s="322">
        <f>SUMIF('Unos rashoda i izdataka'!$R$3:$R$524,'A.4 RASHODI FUNK'!$A74,'Unos rashoda i izdataka'!$K$3:$K$524)+SUMIF('Unos rashoda P4'!$T$3:$T$501,'A.4 RASHODI FUNK'!$A74,'Unos rashoda P4'!$I$3:$I$501)</f>
        <v>0</v>
      </c>
      <c r="E74" s="322">
        <f>SUMIF('Unos rashoda i izdataka'!$R$3:$R$524,'A.4 RASHODI FUNK'!$A74,'Unos rashoda i izdataka'!$L$3:$L$524)+SUMIF('Unos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izdataka'!$R$3:$R$524,'A.4 RASHODI FUNK'!$A76,'Unos rashoda i izdataka'!$J$3:$J$524)+SUMIF('Unos rashoda P4'!$T$3:$T$501,'A.4 RASHODI FUNK'!$A76,'Unos rashoda P4'!$H$3:$H$501)</f>
        <v>0</v>
      </c>
      <c r="D76" s="322">
        <f>SUMIF('Unos rashoda i izdataka'!$R$3:$R$524,'A.4 RASHODI FUNK'!$A76,'Unos rashoda i izdataka'!$K$3:$K$524)+SUMIF('Unos rashoda P4'!$T$3:$T$501,'A.4 RASHODI FUNK'!$A76,'Unos rashoda P4'!$I$3:$I$501)</f>
        <v>0</v>
      </c>
      <c r="E76" s="322">
        <f>SUMIF('Unos rashoda i izdataka'!$R$3:$R$524,'A.4 RASHODI FUNK'!$A76,'Unos rashoda i izdataka'!$L$3:$L$524)+SUMIF('Unos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izdataka'!$R$3:$R$524,'A.4 RASHODI FUNK'!$A77,'Unos rashoda i izdataka'!$J$3:$J$524)+SUMIF('Unos rashoda P4'!$T$3:$T$501,'A.4 RASHODI FUNK'!$A77,'Unos rashoda P4'!$H$3:$H$501)</f>
        <v>0</v>
      </c>
      <c r="D77" s="322">
        <f>SUMIF('Unos rashoda i izdataka'!$R$3:$R$524,'A.4 RASHODI FUNK'!$A77,'Unos rashoda i izdataka'!$K$3:$K$524)+SUMIF('Unos rashoda P4'!$T$3:$T$501,'A.4 RASHODI FUNK'!$A77,'Unos rashoda P4'!$I$3:$I$501)</f>
        <v>0</v>
      </c>
      <c r="E77" s="322">
        <f>SUMIF('Unos rashoda i izdataka'!$R$3:$R$524,'A.4 RASHODI FUNK'!$A77,'Unos rashoda i izdataka'!$L$3:$L$524)+SUMIF('Unos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izdataka'!$R$3:$R$524,'A.4 RASHODI FUNK'!$A78,'Unos rashoda i izdataka'!$J$3:$J$524)+SUMIF('Unos rashoda P4'!$T$3:$T$501,'A.4 RASHODI FUNK'!$A78,'Unos rashoda P4'!$H$3:$H$501)</f>
        <v>0</v>
      </c>
      <c r="D78" s="322">
        <f>SUMIF('Unos rashoda i izdataka'!$R$3:$R$524,'A.4 RASHODI FUNK'!$A78,'Unos rashoda i izdataka'!$K$3:$K$524)+SUMIF('Unos rashoda P4'!$T$3:$T$501,'A.4 RASHODI FUNK'!$A78,'Unos rashoda P4'!$I$3:$I$501)</f>
        <v>0</v>
      </c>
      <c r="E78" s="322">
        <f>SUMIF('Unos rashoda i izdataka'!$R$3:$R$524,'A.4 RASHODI FUNK'!$A78,'Unos rashoda i izdataka'!$L$3:$L$524)+SUMIF('Unos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izdataka'!$R$3:$R$524,'A.4 RASHODI FUNK'!$A79,'Unos rashoda i izdataka'!$J$3:$J$524)+SUMIF('Unos rashoda P4'!$T$3:$T$501,'A.4 RASHODI FUNK'!$A79,'Unos rashoda P4'!$H$3:$H$501)</f>
        <v>0</v>
      </c>
      <c r="D79" s="322">
        <f>SUMIF('Unos rashoda i izdataka'!$R$3:$R$524,'A.4 RASHODI FUNK'!$A79,'Unos rashoda i izdataka'!$K$3:$K$524)+SUMIF('Unos rashoda P4'!$T$3:$T$501,'A.4 RASHODI FUNK'!$A79,'Unos rashoda P4'!$I$3:$I$501)</f>
        <v>0</v>
      </c>
      <c r="E79" s="322">
        <f>SUMIF('Unos rashoda i izdataka'!$R$3:$R$524,'A.4 RASHODI FUNK'!$A79,'Unos rashoda i izdataka'!$L$3:$L$524)+SUMIF('Unos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izdataka'!$R$3:$R$524,'A.4 RASHODI FUNK'!$A80,'Unos rashoda i izdataka'!$J$3:$J$524)+SUMIF('Unos rashoda P4'!$T$3:$T$501,'A.4 RASHODI FUNK'!$A80,'Unos rashoda P4'!$H$3:$H$501)</f>
        <v>0</v>
      </c>
      <c r="D80" s="322">
        <f>SUMIF('Unos rashoda i izdataka'!$R$3:$R$524,'A.4 RASHODI FUNK'!$A80,'Unos rashoda i izdataka'!$K$3:$K$524)+SUMIF('Unos rashoda P4'!$T$3:$T$501,'A.4 RASHODI FUNK'!$A80,'Unos rashoda P4'!$I$3:$I$501)</f>
        <v>0</v>
      </c>
      <c r="E80" s="322">
        <f>SUMIF('Unos rashoda i izdataka'!$R$3:$R$524,'A.4 RASHODI FUNK'!$A80,'Unos rashoda i izdataka'!$L$3:$L$524)+SUMIF('Unos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izdataka'!$R$3:$R$524,'A.4 RASHODI FUNK'!$A81,'Unos rashoda i izdataka'!$J$3:$J$524)+SUMIF('Unos rashoda P4'!$T$3:$T$501,'A.4 RASHODI FUNK'!$A81,'Unos rashoda P4'!$H$3:$H$501)</f>
        <v>0</v>
      </c>
      <c r="D81" s="322">
        <f>SUMIF('Unos rashoda i izdataka'!$R$3:$R$524,'A.4 RASHODI FUNK'!$A81,'Unos rashoda i izdataka'!$K$3:$K$524)+SUMIF('Unos rashoda P4'!$T$3:$T$501,'A.4 RASHODI FUNK'!$A81,'Unos rashoda P4'!$I$3:$I$501)</f>
        <v>0</v>
      </c>
      <c r="E81" s="322">
        <f>SUMIF('Unos rashoda i izdataka'!$R$3:$R$524,'A.4 RASHODI FUNK'!$A81,'Unos rashoda i izdataka'!$L$3:$L$524)+SUMIF('Unos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izdataka'!$R$3:$R$524,'A.4 RASHODI FUNK'!$A82,'Unos rashoda i izdataka'!$J$3:$J$524)+SUMIF('Unos rashoda P4'!$T$3:$T$501,'A.4 RASHODI FUNK'!$A82,'Unos rashoda P4'!$H$3:$H$501)</f>
        <v>0</v>
      </c>
      <c r="D82" s="322">
        <f>SUMIF('Unos rashoda i izdataka'!$R$3:$R$524,'A.4 RASHODI FUNK'!$A82,'Unos rashoda i izdataka'!$K$3:$K$524)+SUMIF('Unos rashoda P4'!$T$3:$T$501,'A.4 RASHODI FUNK'!$A82,'Unos rashoda P4'!$I$3:$I$501)</f>
        <v>0</v>
      </c>
      <c r="E82" s="322">
        <f>SUMIF('Unos rashoda i izdataka'!$R$3:$R$524,'A.4 RASHODI FUNK'!$A82,'Unos rashoda i izdataka'!$L$3:$L$524)+SUMIF('Unos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izdataka'!$R$3:$R$524,'A.4 RASHODI FUNK'!$A83,'Unos rashoda i izdataka'!$J$3:$J$524)+SUMIF('Unos rashoda P4'!$T$3:$T$501,'A.4 RASHODI FUNK'!$A83,'Unos rashoda P4'!$H$3:$H$501)</f>
        <v>0</v>
      </c>
      <c r="D83" s="322">
        <f>SUMIF('Unos rashoda i izdataka'!$R$3:$R$524,'A.4 RASHODI FUNK'!$A83,'Unos rashoda i izdataka'!$K$3:$K$524)+SUMIF('Unos rashoda P4'!$T$3:$T$501,'A.4 RASHODI FUNK'!$A83,'Unos rashoda P4'!$I$3:$I$501)</f>
        <v>0</v>
      </c>
      <c r="E83" s="322">
        <f>SUMIF('Unos rashoda i izdataka'!$R$3:$R$524,'A.4 RASHODI FUNK'!$A83,'Unos rashoda i izdataka'!$L$3:$L$524)+SUMIF('Unos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izdataka'!$R$3:$R$524,'A.4 RASHODI FUNK'!$A84,'Unos rashoda i izdataka'!$J$3:$J$524)+SUMIF('Unos rashoda P4'!$T$3:$T$501,'A.4 RASHODI FUNK'!$A84,'Unos rashoda P4'!$H$3:$H$501)</f>
        <v>0</v>
      </c>
      <c r="D84" s="322">
        <f>SUMIF('Unos rashoda i izdataka'!$R$3:$R$524,'A.4 RASHODI FUNK'!$A84,'Unos rashoda i izdataka'!$K$3:$K$524)+SUMIF('Unos rashoda P4'!$T$3:$T$501,'A.4 RASHODI FUNK'!$A84,'Unos rashoda P4'!$I$3:$I$501)</f>
        <v>0</v>
      </c>
      <c r="E84" s="322">
        <f>SUMIF('Unos rashoda i izdataka'!$R$3:$R$524,'A.4 RASHODI FUNK'!$A84,'Unos rashoda i izdataka'!$L$3:$L$524)+SUMIF('Unos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3" t="s">
        <v>5106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74" t="s">
        <v>236</v>
      </c>
      <c r="B4" s="375"/>
      <c r="C4" s="376" t="s">
        <v>5265</v>
      </c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primitaka'!$G$3:$G$502,'Unos prihoda i primitaka'!$C$3:$C$502,"=43",'Unos prihoda i primitaka'!$L$3:$L$502,"=81")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primitaka'!$G$3:$G$502,'Unos prihoda i primitaka'!$C$3:$C$502,"=81",'Unos prihoda i primitaka'!$L$3:$L$502,"=81")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primitaka'!$G$3:$G$502,'Unos prihoda i primitaka'!$C$3:$C$502,"=43",'Unos prihoda i primitaka'!$L$3:$L$502,"=82")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primitaka'!$G$3:$G$502,'Unos prihoda i primitaka'!$C$3:$C$502,"=81",'Unos prihoda i primitaka'!$L$3:$L$502,"=82")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primitaka'!$G$3:$G$502,'Unos prihoda i primitaka'!$C$3:$C$502,"=43",'Unos prihoda i primitaka'!$L$3:$L$502,"=83")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primitaka'!$G$3:$G$502,'Unos prihoda i primitaka'!$C$3:$C$502,"=81",'Unos prihoda i primitaka'!$L$3:$L$502,"=83")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primitaka'!$G$3:$G$502,'Unos prihoda i primitaka'!$C$3:$C$502,"=43",'Unos prihoda i primitaka'!$L$3:$L$502,"=84")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primitaka'!$G$3:$G$502,'Unos prihoda i primitaka'!$C$3:$C$502,"=81",'Unos prihoda i primitaka'!$L$3:$L$502,"=84")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izdataka'!$J$3:$J$524,'Unos rashoda i izdataka'!$C$3:$C$524,"=11",'Unos rashoda i izdataka'!$P$3:$P$524,"=51")+SUMIFS('Unos rashoda P4'!$H$3:$H$501,'Unos rashoda P4'!$A$3:$A$501,"=11",'Unos rashoda P4'!$S$3:$S$501,"=51")</f>
        <v>0</v>
      </c>
      <c r="E12" s="74">
        <f>SUMIFS('Unos rashoda i izdataka'!$J$3:$J$524,'Unos rashoda i izdataka'!$C$3:$C$524,"=12",'Unos rashoda i izdataka'!$P$3:$P$524,"=51")+SUMIFS('Unos rashoda P4'!$H$3:$H$501,'Unos rashoda P4'!$A$3:$A$501,"=12",'Unos rashoda P4'!$S$3:$S$501,"=51")</f>
        <v>0</v>
      </c>
      <c r="F12" s="74">
        <f>SUMIFS('Unos rashoda i izdataka'!$J$3:$J$524,'Unos rashoda i izdataka'!$C$3:$C$524,"=31",'Unos rashoda i izdataka'!$P$3:$P$524,"=51")+SUMIFS('Unos rashoda P4'!$H$3:$H$501,'Unos rashoda P4'!$A$3:$A$501,"=31",'Unos rashoda P4'!$S$3:$S$501,"=51")</f>
        <v>0</v>
      </c>
      <c r="G12" s="74">
        <f>SUMIFS('Unos rashoda i izdataka'!$J$3:$J$524,'Unos rashoda i izdataka'!$C$3:$C$524,"=41",'Unos rashoda i izdataka'!$P$3:$P$524,"=51")+SUMIFS('Unos rashoda P4'!$H$3:$H$501,'Unos rashoda P4'!$A$3:$A$501,"=41",'Unos rashoda P4'!$S$3:$S$501,"=51")</f>
        <v>0</v>
      </c>
      <c r="H12" s="74">
        <f>SUMIFS('Unos rashoda i izdataka'!$J$3:$J$524,'Unos rashoda i izdataka'!$C$3:$C$524,"=43",'Unos rashoda i izdataka'!$P$3:$P$524,"=51")+SUMIFS('Unos rashoda P4'!$H$3:$H$501,'Unos rashoda P4'!$A$3:$A$501,"=43",'Unos rashoda P4'!$S$3:$S$501,"=51")</f>
        <v>0</v>
      </c>
      <c r="I12" s="74">
        <f>SUMIFS('Unos rashoda i izdataka'!$J$3:$J$524,'Unos rashoda i izdataka'!$C$3:$C$524,"=51",'Unos rashoda i izdataka'!$P$3:$P$524,"=51")+SUMIFS('Unos rashoda P4'!$H$3:$H$501,'Unos rashoda P4'!$A$3:$A$501,"=51",'Unos rashoda P4'!$S$3:$S$501,"=51")</f>
        <v>0</v>
      </c>
      <c r="J12" s="74">
        <f>SUMIFS('Unos rashoda i izdataka'!$J$3:$J$524,'Unos rashoda i izdataka'!$C$3:$C$524,"=52",'Unos rashoda i izdataka'!$P$3:$P$524,"=51")+SUMIFS('Unos rashoda P4'!$H$3:$H$501,'Unos rashoda P4'!$A$3:$A$501,"=52",'Unos rashoda P4'!$S$3:$S$501,"=51")</f>
        <v>0</v>
      </c>
      <c r="K12" s="74">
        <f>SUMIFS('Unos rashoda i izdataka'!$J$3:$J$524,'Unos rashoda i izdataka'!$C$3:$C$524,"=552",'Unos rashoda i izdataka'!$P$3:$P$524,"=51")+SUMIFS('Unos rashoda P4'!$H$3:$H$501,'Unos rashoda P4'!$A$3:$A$501,"=552",'Unos rashoda P4'!$S$3:$S$501,"=51")</f>
        <v>0</v>
      </c>
      <c r="L12" s="74">
        <f>SUMIFS('Unos rashoda i izdataka'!$J$3:$J$524,'Unos rashoda i izdataka'!$C$3:$C$524,"=559",'Unos rashoda i izdataka'!$P$3:$P$524,"=51")+SUMIFS('Unos rashoda P4'!$H$3:$H$501,'Unos rashoda P4'!$A$3:$A$501,"=559",'Unos rashoda P4'!$S$3:$S$501,"=51")</f>
        <v>0</v>
      </c>
      <c r="M12" s="74">
        <f>SUMIFS('Unos rashoda i izdataka'!$J$3:$J$524,'Unos rashoda i izdataka'!$C$3:$C$524,"=561",'Unos rashoda i izdataka'!$P$3:$P$524,"=51")+SUMIFS('Unos rashoda P4'!$H$3:$H$501,'Unos rashoda P4'!$A$3:$A$501,"=561",'Unos rashoda P4'!$S$3:$S$501,"=51")</f>
        <v>0</v>
      </c>
      <c r="N12" s="74">
        <f>SUMIFS('Unos rashoda i izdataka'!$J$3:$J$524,'Unos rashoda i izdataka'!$C$3:$C$524,"=563",'Unos rashoda i izdataka'!$P$3:$P$524,"=51")+SUMIFS('Unos rashoda P4'!$H$3:$H$501,'Unos rashoda P4'!$A$3:$A$501,"=563",'Unos rashoda P4'!$S$3:$S$501,"=51")</f>
        <v>0</v>
      </c>
      <c r="O12" s="74">
        <f>SUMIFS('Unos rashoda i izdataka'!$J$3:$J$524,'Unos rashoda i izdataka'!$C$3:$C$524,"=573",'Unos rashoda i izdataka'!$P$3:$P$524,"=51")+SUMIFS('Unos rashoda P4'!$H$3:$H$501,'Unos rashoda P4'!$A$3:$A$501,"=573",'Unos rashoda P4'!$S$3:$S$501,"=51")</f>
        <v>0</v>
      </c>
      <c r="P12" s="74">
        <f>SUMIFS('Unos rashoda i izdataka'!$J$3:$J$524,'Unos rashoda i izdataka'!$C$3:$C$524,"=575",'Unos rashoda i izdataka'!$P$3:$P$524,"=51")+SUMIFS('Unos rashoda P4'!$H$3:$H$501,'Unos rashoda P4'!$A$3:$A$501,"=575",'Unos rashoda P4'!$S$3:$S$501,"=51")</f>
        <v>0</v>
      </c>
      <c r="Q12" s="74">
        <f>SUMIFS('Unos rashoda i izdataka'!$J$3:$J$524,'Unos rashoda i izdataka'!$Q$3:$Q$524,"=576",'Unos rashoda i izdataka'!$P$3:$P$524,"=51")+SUMIFS('Unos rashoda P4'!$H$3:$H$501,'Unos rashoda P4'!$A$3:$A$501,"=576",'Unos rashoda P4'!$S$3:$S$501,"=51")</f>
        <v>0</v>
      </c>
      <c r="R12" s="74">
        <f>SUMIFS('Unos rashoda i izdataka'!$J$3:$J$524,'Unos rashoda i izdataka'!$C$3:$C$524,"=581",'Unos rashoda i izdataka'!$P$3:$P$524,"=51")+SUMIFS('Unos rashoda P4'!$H$3:$H$501,'Unos rashoda P4'!$A$3:$A$501,"=581",'Unos rashoda P4'!$S$3:$S$501,"=51")</f>
        <v>0</v>
      </c>
      <c r="S12" s="74">
        <f>SUMIFS('Unos rashoda i izdataka'!$J$3:$J$524,'Unos rashoda i izdataka'!$C$3:$C$524,"=61",'Unos rashoda i izdataka'!$P$3:$P$524,"=51")+SUMIFS('Unos rashoda P4'!$H$3:$H$501,'Unos rashoda P4'!$A$3:$A$501,"=61",'Unos rashoda P4'!$S$3:$S$501,"=51")</f>
        <v>0</v>
      </c>
      <c r="T12" s="74">
        <f>SUMIFS('Unos rashoda i izdataka'!$J$3:$J$524,'Unos rashoda i izdataka'!$C$3:$C$524,"=63",'Unos rashoda i izdataka'!$P$3:$P$524,"=51")+SUMIFS('Unos rashoda P4'!$H$3:$H$501,'Unos rashoda P4'!$A$3:$A$501,"=63",'Unos rashoda P4'!$S$3:$S$501,"=51")</f>
        <v>0</v>
      </c>
      <c r="U12" s="74">
        <f>SUMIFS('Unos rashoda i izdataka'!$J$3:$J$524,'Unos rashoda i izdataka'!$C$3:$C$524,"=71",'Unos rashoda i izdataka'!$P$3:$P$524,"=51")+SUMIFS('Unos rashoda P4'!$H$3:$H$501,'Unos rashoda P4'!$A$3:$A$501,"=71",'Unos rashoda P4'!$S$3:$S$501,"=51")</f>
        <v>0</v>
      </c>
      <c r="V12" s="74">
        <f>SUMIFS('Unos rashoda i izdataka'!$J$3:$J$524,'Unos rashoda i izdataka'!$C$3:$C$524,"=81",'Unos rashoda i izdataka'!$P$3:$P$524,"=51")+SUMIFS('Unos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izdataka'!$J$3:$J$524,'Unos rashoda i izdataka'!$C$3:$C$524,"=11",'Unos rashoda i izdataka'!$P$3:$P$524,"=54")+SUMIFS('Unos rashoda P4'!$H$3:$H$501,'Unos rashoda P4'!$A$3:$A$501,"=11",'Unos rashoda P4'!$S$3:$S$501,"=54")</f>
        <v>0</v>
      </c>
      <c r="E13" s="74">
        <f>SUMIFS('Unos rashoda i izdataka'!$J$3:$J$524,'Unos rashoda i izdataka'!$C$3:$C$524,"=12",'Unos rashoda i izdataka'!$P$3:$P$524,"=54")+SUMIFS('Unos rashoda P4'!$H$3:$H$501,'Unos rashoda P4'!$A$3:$A$501,"=12",'Unos rashoda P4'!$S$3:$S$501,"=54")</f>
        <v>0</v>
      </c>
      <c r="F13" s="74">
        <f>SUMIFS('Unos rashoda i izdataka'!$J$3:$J$524,'Unos rashoda i izdataka'!$C$3:$C$524,"=31",'Unos rashoda i izdataka'!$P$3:$P$524,"=54")+SUMIFS('Unos rashoda P4'!$H$3:$H$501,'Unos rashoda P4'!$A$3:$A$501,"=31",'Unos rashoda P4'!$S$3:$S$501,"=54")</f>
        <v>0</v>
      </c>
      <c r="G13" s="74">
        <f>SUMIFS('Unos rashoda i izdataka'!$J$3:$J$524,'Unos rashoda i izdataka'!$C$3:$C$524,"=41",'Unos rashoda i izdataka'!$P$3:$P$524,"=54")+SUMIFS('Unos rashoda P4'!$H$3:$H$501,'Unos rashoda P4'!$A$3:$A$501,"=41",'Unos rashoda P4'!$S$3:$S$501,"=54")</f>
        <v>0</v>
      </c>
      <c r="H13" s="74">
        <f>SUMIFS('Unos rashoda i izdataka'!$J$3:$J$524,'Unos rashoda i izdataka'!$C$3:$C$524,"=43",'Unos rashoda i izdataka'!$P$3:$P$524,"=54")+SUMIFS('Unos rashoda P4'!$H$3:$H$501,'Unos rashoda P4'!$A$3:$A$501,"=43",'Unos rashoda P4'!$S$3:$S$501,"=54")</f>
        <v>0</v>
      </c>
      <c r="I13" s="74">
        <f>SUMIFS('Unos rashoda i izdataka'!$J$3:$J$524,'Unos rashoda i izdataka'!$C$3:$C$524,"=51",'Unos rashoda i izdataka'!$P$3:$P$524,"=54")+SUMIFS('Unos rashoda P4'!$H$3:$H$501,'Unos rashoda P4'!$A$3:$A$501,"=51",'Unos rashoda P4'!$S$3:$S$501,"=54")</f>
        <v>0</v>
      </c>
      <c r="J13" s="74">
        <f>SUMIFS('Unos rashoda i izdataka'!$J$3:$J$524,'Unos rashoda i izdataka'!$C$3:$C$524,"=52",'Unos rashoda i izdataka'!$P$3:$P$524,"=54")+SUMIFS('Unos rashoda P4'!$H$3:$H$501,'Unos rashoda P4'!$A$3:$A$501,"=52",'Unos rashoda P4'!$S$3:$S$501,"=54")</f>
        <v>0</v>
      </c>
      <c r="K13" s="74">
        <f>SUMIFS('Unos rashoda i izdataka'!$J$3:$J$524,'Unos rashoda i izdataka'!$C$3:$C$524,"=552",'Unos rashoda i izdataka'!$P$3:$P$524,"=54")+SUMIFS('Unos rashoda P4'!$H$3:$H$501,'Unos rashoda P4'!$A$3:$A$501,"=552",'Unos rashoda P4'!$S$3:$S$501,"=54")</f>
        <v>0</v>
      </c>
      <c r="L13" s="74">
        <f>SUMIFS('Unos rashoda i izdataka'!$J$3:$J$524,'Unos rashoda i izdataka'!$C$3:$C$524,"=559",'Unos rashoda i izdataka'!$P$3:$P$524,"=54")+SUMIFS('Unos rashoda P4'!$H$3:$H$501,'Unos rashoda P4'!$A$3:$A$501,"=559",'Unos rashoda P4'!$S$3:$S$501,"=54")</f>
        <v>0</v>
      </c>
      <c r="M13" s="74">
        <f>SUMIFS('Unos rashoda i izdataka'!$J$3:$J$524,'Unos rashoda i izdataka'!$C$3:$C$524,"=561",'Unos rashoda i izdataka'!$P$3:$P$524,"=54")+SUMIFS('Unos rashoda P4'!$H$3:$H$501,'Unos rashoda P4'!$A$3:$A$501,"=561",'Unos rashoda P4'!$S$3:$S$501,"=54")</f>
        <v>0</v>
      </c>
      <c r="N13" s="74">
        <f>SUMIFS('Unos rashoda i izdataka'!$J$3:$J$524,'Unos rashoda i izdataka'!$C$3:$C$524,"=563",'Unos rashoda i izdataka'!$P$3:$P$524,"=54")+SUMIFS('Unos rashoda P4'!$H$3:$H$501,'Unos rashoda P4'!$A$3:$A$501,"=563",'Unos rashoda P4'!$S$3:$S$501,"=54")</f>
        <v>0</v>
      </c>
      <c r="O13" s="74">
        <f>SUMIFS('Unos rashoda i izdataka'!$J$3:$J$524,'Unos rashoda i izdataka'!$C$3:$C$524,"=573",'Unos rashoda i izdataka'!$P$3:$P$524,"=54")+SUMIFS('Unos rashoda P4'!$H$3:$H$501,'Unos rashoda P4'!$A$3:$A$501,"=573",'Unos rashoda P4'!$S$3:$S$501,"=54")</f>
        <v>0</v>
      </c>
      <c r="P13" s="74">
        <f>SUMIFS('Unos rashoda i izdataka'!$J$3:$J$524,'Unos rashoda i izdataka'!$C$3:$C$524,"=575",'Unos rashoda i izdataka'!$P$3:$P$524,"=54")+SUMIFS('Unos rashoda P4'!$H$3:$H$501,'Unos rashoda P4'!$A$3:$A$501,"=575",'Unos rashoda P4'!$S$3:$S$501,"=54")</f>
        <v>0</v>
      </c>
      <c r="Q13" s="74">
        <f>SUMIFS('Unos rashoda i izdataka'!$J$3:$J$524,'Unos rashoda i izdataka'!$Q$3:$Q$524,"=576",'Unos rashoda i izdataka'!$P$3:$P$524,"=54")+SUMIFS('Unos rashoda P4'!$H$3:$H$501,'Unos rashoda P4'!$A$3:$A$501,"=576",'Unos rashoda P4'!$S$3:$S$501,"=54")</f>
        <v>0</v>
      </c>
      <c r="R13" s="74">
        <f>SUMIFS('Unos rashoda i izdataka'!$J$3:$J$524,'Unos rashoda i izdataka'!$C$3:$C$524,"=581",'Unos rashoda i izdataka'!$P$3:$P$524,"=54")+SUMIFS('Unos rashoda P4'!$H$3:$H$501,'Unos rashoda P4'!$A$3:$A$501,"=581",'Unos rashoda P4'!$S$3:$S$501,"=54")</f>
        <v>0</v>
      </c>
      <c r="S13" s="74">
        <f>SUMIFS('Unos rashoda i izdataka'!$J$3:$J$524,'Unos rashoda i izdataka'!$C$3:$C$524,"=61",'Unos rashoda i izdataka'!$P$3:$P$524,"=54")+SUMIFS('Unos rashoda P4'!$H$3:$H$501,'Unos rashoda P4'!$A$3:$A$501,"=61",'Unos rashoda P4'!$S$3:$S$501,"=54")</f>
        <v>0</v>
      </c>
      <c r="T13" s="74">
        <f>SUMIFS('Unos rashoda i izdataka'!$J$3:$J$524,'Unos rashoda i izdataka'!$C$3:$C$524,"=63",'Unos rashoda i izdataka'!$P$3:$P$524,"=54")+SUMIFS('Unos rashoda P4'!$H$3:$H$501,'Unos rashoda P4'!$A$3:$A$501,"=63",'Unos rashoda P4'!$S$3:$S$501,"=54")</f>
        <v>0</v>
      </c>
      <c r="U13" s="74">
        <f>SUMIFS('Unos rashoda i izdataka'!$J$3:$J$524,'Unos rashoda i izdataka'!$C$3:$C$524,"=71",'Unos rashoda i izdataka'!$P$3:$P$524,"=54")+SUMIFS('Unos rashoda P4'!$H$3:$H$501,'Unos rashoda P4'!$A$3:$A$501,"=71",'Unos rashoda P4'!$S$3:$S$501,"=54")</f>
        <v>0</v>
      </c>
      <c r="V13" s="74">
        <f>SUMIFS('Unos rashoda i izdataka'!$J$3:$J$524,'Unos rashoda i izdataka'!$C$3:$C$524,"=81",'Unos rashoda i izdataka'!$P$3:$P$524,"=54")+SUMIFS('Unos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4" t="s">
        <v>236</v>
      </c>
      <c r="B15" s="375"/>
      <c r="C15" s="376" t="s">
        <v>5266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8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primitaka'!$H$3:$H$502,'Unos prihoda i primitaka'!$C$3:$C$502,"=43",'Unos prihoda i primitaka'!$L$3:$L$502,"=81")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primitaka'!$H$3:$H$502,'Unos prihoda i primitaka'!$C$3:$C$502,"=81",'Unos prihoda i primitaka'!$L$3:$L$502,"=81")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primitaka'!$H$3:$H$502,'Unos prihoda i primitaka'!$C$3:$C$502,"=43",'Unos prihoda i primitaka'!$L$3:$L$502,"=82")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primitaka'!$H$3:$H$502,'Unos prihoda i primitaka'!$C$3:$C$502,"=81",'Unos prihoda i primitaka'!$L$3:$L$502,"=82")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primitaka'!$H$3:$H$502,'Unos prihoda i primitaka'!$C$3:$C$502,"=43",'Unos prihoda i primitaka'!$L$3:$L$502,"=83")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primitaka'!$H$3:$H$502,'Unos prihoda i primitaka'!$C$3:$C$502,"=81",'Unos prihoda i primitaka'!$L$3:$L$502,"=83")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primitaka'!$H$3:$H$502,'Unos prihoda i primitaka'!$C$3:$C$502,"=43",'Unos prihoda i primitaka'!$L$3:$L$502,"=84")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primitaka'!$H$3:$H$502,'Unos prihoda i primitaka'!$C$3:$C$502,"=81",'Unos prihoda i primitaka'!$L$3:$L$502,"=84")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izdataka'!$K$3:$K$524,'Unos rashoda i izdataka'!$C$3:$C$524,"=11",'Unos rashoda i izdataka'!$P$3:$P$524,"=51")+SUMIFS('Unos rashoda P4'!$I$3:$I$501,'Unos rashoda P4'!$A$3:$A$501,"=11",'Unos rashoda P4'!$S$3:$S$501,"=51")</f>
        <v>0</v>
      </c>
      <c r="E23" s="74">
        <f>SUMIFS('Unos rashoda i izdataka'!$K$3:$K$524,'Unos rashoda i izdataka'!$C$3:$C$524,"=12",'Unos rashoda i izdataka'!$P$3:$P$524,"=51")+SUMIFS('Unos rashoda P4'!$I$3:$I$501,'Unos rashoda P4'!$A$3:$A$501,"=12",'Unos rashoda P4'!$S$3:$S$501,"=51")</f>
        <v>0</v>
      </c>
      <c r="F23" s="74">
        <f>SUMIFS('Unos rashoda i izdataka'!$K$3:$K$524,'Unos rashoda i izdataka'!$C$3:$C$524,"=31",'Unos rashoda i izdataka'!$P$3:$P$524,"=51")+SUMIFS('Unos rashoda P4'!$I$3:$I$501,'Unos rashoda P4'!$A$3:$A$501,"=31",'Unos rashoda P4'!$S$3:$S$501,"=51")</f>
        <v>0</v>
      </c>
      <c r="G23" s="74">
        <f>SUMIFS('Unos rashoda i izdataka'!$K$3:$K$524,'Unos rashoda i izdataka'!$C$3:$C$524,"=41",'Unos rashoda i izdataka'!$P$3:$P$524,"=51")+SUMIFS('Unos rashoda P4'!$I$3:$I$501,'Unos rashoda P4'!$A$3:$A$501,"=41",'Unos rashoda P4'!$S$3:$S$501,"=51")</f>
        <v>0</v>
      </c>
      <c r="H23" s="74">
        <f>SUMIFS('Unos rashoda i izdataka'!$K$3:$K$524,'Unos rashoda i izdataka'!$C$3:$C$524,"=43",'Unos rashoda i izdataka'!$P$3:$P$524,"=51")+SUMIFS('Unos rashoda P4'!$I$3:$I$501,'Unos rashoda P4'!$A$3:$A$501,"=43",'Unos rashoda P4'!$S$3:$S$501,"=51")</f>
        <v>0</v>
      </c>
      <c r="I23" s="74">
        <f>SUMIFS('Unos rashoda i izdataka'!$K$3:$K$524,'Unos rashoda i izdataka'!$C$3:$C$524,"=51",'Unos rashoda i izdataka'!$P$3:$P$524,"=51")+SUMIFS('Unos rashoda P4'!$I$3:$I$501,'Unos rashoda P4'!$A$3:$A$501,"=51",'Unos rashoda P4'!$S$3:$S$501,"=51")</f>
        <v>0</v>
      </c>
      <c r="J23" s="74">
        <f>SUMIFS('Unos rashoda i izdataka'!$K$3:$K$524,'Unos rashoda i izdataka'!$C$3:$C$524,"=52",'Unos rashoda i izdataka'!$P$3:$P$524,"=51")+SUMIFS('Unos rashoda P4'!$I$3:$I$501,'Unos rashoda P4'!$A$3:$A$501,"=52",'Unos rashoda P4'!$S$3:$S$501,"=51")</f>
        <v>0</v>
      </c>
      <c r="K23" s="74">
        <f>SUMIFS('Unos rashoda i izdataka'!$K$3:$K$524,'Unos rashoda i izdataka'!$C$3:$C$524,"=552",'Unos rashoda i izdataka'!$P$3:$P$524,"=51")+SUMIFS('Unos rashoda P4'!$I$3:$I$501,'Unos rashoda P4'!$A$3:$A$501,"=552",'Unos rashoda P4'!$S$3:$S$501,"=51")</f>
        <v>0</v>
      </c>
      <c r="L23" s="74">
        <f>SUMIFS('Unos rashoda i izdataka'!$K$3:$K$524,'Unos rashoda i izdataka'!$C$3:$C$524,"=559",'Unos rashoda i izdataka'!$P$3:$P$524,"=51")+SUMIFS('Unos rashoda P4'!$I$3:$I$501,'Unos rashoda P4'!$A$3:$A$501,"=559",'Unos rashoda P4'!$S$3:$S$501,"=51")</f>
        <v>0</v>
      </c>
      <c r="M23" s="74">
        <f>SUMIFS('Unos rashoda i izdataka'!$K$3:$K$524,'Unos rashoda i izdataka'!$C$3:$C$524,"=561",'Unos rashoda i izdataka'!$P$3:$P$524,"=51")+SUMIFS('Unos rashoda P4'!$I$3:$I$501,'Unos rashoda P4'!$A$3:$A$501,"=561",'Unos rashoda P4'!$S$3:$S$501,"=51")</f>
        <v>0</v>
      </c>
      <c r="N23" s="74">
        <f>SUMIFS('Unos rashoda i izdataka'!$K$3:$K$524,'Unos rashoda i izdataka'!$C$3:$C$524,"=563",'Unos rashoda i izdataka'!$P$3:$P$524,"=51")+SUMIFS('Unos rashoda P4'!$I$3:$I$501,'Unos rashoda P4'!$A$3:$A$501,"=563",'Unos rashoda P4'!$S$3:$S$501,"=51")</f>
        <v>0</v>
      </c>
      <c r="O23" s="74">
        <f>SUMIFS('Unos rashoda i izdataka'!$K$3:$K$524,'Unos rashoda i izdataka'!$C$3:$C$524,"=573",'Unos rashoda i izdataka'!$P$3:$P$524,"=51")+SUMIFS('Unos rashoda P4'!$I$3:$I$501,'Unos rashoda P4'!$A$3:$A$501,"=573",'Unos rashoda P4'!$S$3:$S$501,"=51")</f>
        <v>0</v>
      </c>
      <c r="P23" s="74">
        <f>SUMIFS('Unos rashoda i izdataka'!$K$3:$K$524,'Unos rashoda i izdataka'!$C$3:$C$524,"=575",'Unos rashoda i izdataka'!$P$3:$P$524,"=51")+SUMIFS('Unos rashoda P4'!$I$3:$I$501,'Unos rashoda P4'!$A$3:$A$501,"=575",'Unos rashoda P4'!$S$3:$S$501,"=51")</f>
        <v>0</v>
      </c>
      <c r="Q23" s="74">
        <f>SUMIFS('Unos rashoda i izdataka'!$K$3:$K$524,'Unos rashoda i izdataka'!$Q$3:$Q$524,"=576",'Unos rashoda i izdataka'!$P$3:$P$524,"=51")+SUMIFS('Unos rashoda P4'!$I$3:$I$501,'Unos rashoda P4'!$A$3:$A$501,"=576",'Unos rashoda P4'!$S$3:$S$501,"=51")</f>
        <v>0</v>
      </c>
      <c r="R23" s="74">
        <f>SUMIFS('Unos rashoda i izdataka'!$K$3:$K$524,'Unos rashoda i izdataka'!$C$3:$C$524,"=581",'Unos rashoda i izdataka'!$P$3:$P$524,"=51")+SUMIFS('Unos rashoda P4'!$I$3:$I$501,'Unos rashoda P4'!$A$3:$A$501,"=581",'Unos rashoda P4'!$S$3:$S$501,"=51")</f>
        <v>0</v>
      </c>
      <c r="S23" s="74">
        <f>SUMIFS('Unos rashoda i izdataka'!$K$3:$K$524,'Unos rashoda i izdataka'!$C$3:$C$524,"=61",'Unos rashoda i izdataka'!$P$3:$P$524,"=51")+SUMIFS('Unos rashoda P4'!$I$3:$I$501,'Unos rashoda P4'!$A$3:$A$501,"=61",'Unos rashoda P4'!$S$3:$S$501,"=51")</f>
        <v>0</v>
      </c>
      <c r="T23" s="74">
        <f>SUMIFS('Unos rashoda i izdataka'!$K$3:$K$524,'Unos rashoda i izdataka'!$C$3:$C$524,"=63",'Unos rashoda i izdataka'!$P$3:$P$524,"=51")+SUMIFS('Unos rashoda P4'!$I$3:$I$501,'Unos rashoda P4'!$A$3:$A$501,"=63",'Unos rashoda P4'!$S$3:$S$501,"=51")</f>
        <v>0</v>
      </c>
      <c r="U23" s="74">
        <f>SUMIFS('Unos rashoda i izdataka'!$K$3:$K$524,'Unos rashoda i izdataka'!$C$3:$C$524,"=71",'Unos rashoda i izdataka'!$P$3:$P$524,"=51")+SUMIFS('Unos rashoda P4'!$I$3:$I$501,'Unos rashoda P4'!$A$3:$A$501,"=71",'Unos rashoda P4'!$S$3:$S$501,"=51")</f>
        <v>0</v>
      </c>
      <c r="V23" s="74">
        <f>SUMIFS('Unos rashoda i izdataka'!$K$3:$K$524,'Unos rashoda i izdataka'!$C$3:$C$524,"=81",'Unos rashoda i izdataka'!$P$3:$P$524,"=51")+SUMIFS('Unos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izdataka'!$K$3:$K$524,'Unos rashoda i izdataka'!$C$3:$C$524,"=11",'Unos rashoda i izdataka'!$P$3:$P$524,"=54")+SUMIFS('Unos rashoda P4'!$I$3:$I$501,'Unos rashoda P4'!$A$3:$A$501,"=11",'Unos rashoda P4'!$S$3:$S$501,"=54")</f>
        <v>0</v>
      </c>
      <c r="E24" s="74">
        <f>SUMIFS('Unos rashoda i izdataka'!$K$3:$K$524,'Unos rashoda i izdataka'!$C$3:$C$524,"=12",'Unos rashoda i izdataka'!$P$3:$P$524,"=54")+SUMIFS('Unos rashoda P4'!$I$3:$I$501,'Unos rashoda P4'!$A$3:$A$501,"=12",'Unos rashoda P4'!$S$3:$S$501,"=54")</f>
        <v>0</v>
      </c>
      <c r="F24" s="74">
        <f>SUMIFS('Unos rashoda i izdataka'!$K$3:$K$524,'Unos rashoda i izdataka'!$C$3:$C$524,"=31",'Unos rashoda i izdataka'!$P$3:$P$524,"=54")+SUMIFS('Unos rashoda P4'!$I$3:$I$501,'Unos rashoda P4'!$A$3:$A$501,"=31",'Unos rashoda P4'!$S$3:$S$501,"=54")</f>
        <v>0</v>
      </c>
      <c r="G24" s="74">
        <f>SUMIFS('Unos rashoda i izdataka'!$K$3:$K$524,'Unos rashoda i izdataka'!$C$3:$C$524,"=41",'Unos rashoda i izdataka'!$P$3:$P$524,"=54")+SUMIFS('Unos rashoda P4'!$I$3:$I$501,'Unos rashoda P4'!$A$3:$A$501,"=41",'Unos rashoda P4'!$S$3:$S$501,"=54")</f>
        <v>0</v>
      </c>
      <c r="H24" s="74">
        <f>SUMIFS('Unos rashoda i izdataka'!$K$3:$K$524,'Unos rashoda i izdataka'!$C$3:$C$524,"=43",'Unos rashoda i izdataka'!$P$3:$P$524,"=54")+SUMIFS('Unos rashoda P4'!$I$3:$I$501,'Unos rashoda P4'!$A$3:$A$501,"=43",'Unos rashoda P4'!$S$3:$S$501,"=54")</f>
        <v>0</v>
      </c>
      <c r="I24" s="74">
        <f>SUMIFS('Unos rashoda i izdataka'!$K$3:$K$524,'Unos rashoda i izdataka'!$C$3:$C$524,"=51",'Unos rashoda i izdataka'!$P$3:$P$524,"=54")+SUMIFS('Unos rashoda P4'!$I$3:$I$501,'Unos rashoda P4'!$A$3:$A$501,"=51",'Unos rashoda P4'!$S$3:$S$501,"=54")</f>
        <v>0</v>
      </c>
      <c r="J24" s="74">
        <f>SUMIFS('Unos rashoda i izdataka'!$K$3:$K$524,'Unos rashoda i izdataka'!$C$3:$C$524,"=52",'Unos rashoda i izdataka'!$P$3:$P$524,"=54")+SUMIFS('Unos rashoda P4'!$I$3:$I$501,'Unos rashoda P4'!$A$3:$A$501,"=52",'Unos rashoda P4'!$S$3:$S$501,"=54")</f>
        <v>0</v>
      </c>
      <c r="K24" s="74">
        <f>SUMIFS('Unos rashoda i izdataka'!$K$3:$K$524,'Unos rashoda i izdataka'!$C$3:$C$524,"=552",'Unos rashoda i izdataka'!$P$3:$P$524,"=54")+SUMIFS('Unos rashoda P4'!$I$3:$I$501,'Unos rashoda P4'!$A$3:$A$501,"=552",'Unos rashoda P4'!$S$3:$S$501,"=54")</f>
        <v>0</v>
      </c>
      <c r="L24" s="74">
        <f>SUMIFS('Unos rashoda i izdataka'!$K$3:$K$524,'Unos rashoda i izdataka'!$C$3:$C$524,"=559",'Unos rashoda i izdataka'!$P$3:$P$524,"=54")+SUMIFS('Unos rashoda P4'!$I$3:$I$501,'Unos rashoda P4'!$A$3:$A$501,"=559",'Unos rashoda P4'!$S$3:$S$501,"=54")</f>
        <v>0</v>
      </c>
      <c r="M24" s="74">
        <f>SUMIFS('Unos rashoda i izdataka'!$K$3:$K$524,'Unos rashoda i izdataka'!$C$3:$C$524,"=561",'Unos rashoda i izdataka'!$P$3:$P$524,"=54")+SUMIFS('Unos rashoda P4'!$I$3:$I$501,'Unos rashoda P4'!$A$3:$A$501,"=561",'Unos rashoda P4'!$S$3:$S$501,"=54")</f>
        <v>0</v>
      </c>
      <c r="N24" s="74">
        <f>SUMIFS('Unos rashoda i izdataka'!$K$3:$K$524,'Unos rashoda i izdataka'!$C$3:$C$524,"=563",'Unos rashoda i izdataka'!$P$3:$P$524,"=54")+SUMIFS('Unos rashoda P4'!$I$3:$I$501,'Unos rashoda P4'!$A$3:$A$501,"=563",'Unos rashoda P4'!$S$3:$S$501,"=54")</f>
        <v>0</v>
      </c>
      <c r="O24" s="74">
        <f>SUMIFS('Unos rashoda i izdataka'!$K$3:$K$524,'Unos rashoda i izdataka'!$C$3:$C$524,"=573",'Unos rashoda i izdataka'!$P$3:$P$524,"=54")+SUMIFS('Unos rashoda P4'!$I$3:$I$501,'Unos rashoda P4'!$A$3:$A$501,"=573",'Unos rashoda P4'!$S$3:$S$501,"=54")</f>
        <v>0</v>
      </c>
      <c r="P24" s="74">
        <f>SUMIFS('Unos rashoda i izdataka'!$K$3:$K$524,'Unos rashoda i izdataka'!$C$3:$C$524,"=575",'Unos rashoda i izdataka'!$P$3:$P$524,"=54")+SUMIFS('Unos rashoda P4'!$I$3:$I$501,'Unos rashoda P4'!$A$3:$A$501,"=575",'Unos rashoda P4'!$S$3:$S$501,"=54")</f>
        <v>0</v>
      </c>
      <c r="Q24" s="74">
        <f>SUMIFS('Unos rashoda i izdataka'!$K$3:$K$524,'Unos rashoda i izdataka'!$Q$3:$Q$524,"=576",'Unos rashoda i izdataka'!$P$3:$P$524,"=54")+SUMIFS('Unos rashoda P4'!$I$3:$I$501,'Unos rashoda P4'!$A$3:$A$501,"=576",'Unos rashoda P4'!$S$3:$S$501,"=54")</f>
        <v>0</v>
      </c>
      <c r="R24" s="74">
        <f>SUMIFS('Unos rashoda i izdataka'!$K$3:$K$524,'Unos rashoda i izdataka'!$C$3:$C$524,"=581",'Unos rashoda i izdataka'!$P$3:$P$524,"=54")+SUMIFS('Unos rashoda P4'!$I$3:$I$501,'Unos rashoda P4'!$A$3:$A$501,"=581",'Unos rashoda P4'!$S$3:$S$501,"=54")</f>
        <v>0</v>
      </c>
      <c r="S24" s="74">
        <f>SUMIFS('Unos rashoda i izdataka'!$K$3:$K$524,'Unos rashoda i izdataka'!$C$3:$C$524,"=61",'Unos rashoda i izdataka'!$P$3:$P$524,"=54")+SUMIFS('Unos rashoda P4'!$I$3:$I$501,'Unos rashoda P4'!$A$3:$A$501,"=61",'Unos rashoda P4'!$S$3:$S$501,"=54")</f>
        <v>0</v>
      </c>
      <c r="T24" s="74">
        <f>SUMIFS('Unos rashoda i izdataka'!$K$3:$K$524,'Unos rashoda i izdataka'!$C$3:$C$524,"=63",'Unos rashoda i izdataka'!$P$3:$P$524,"=54")+SUMIFS('Unos rashoda P4'!$I$3:$I$501,'Unos rashoda P4'!$A$3:$A$501,"=63",'Unos rashoda P4'!$S$3:$S$501,"=54")</f>
        <v>0</v>
      </c>
      <c r="U24" s="74">
        <f>SUMIFS('Unos rashoda i izdataka'!$K$3:$K$524,'Unos rashoda i izdataka'!$C$3:$C$524,"=71",'Unos rashoda i izdataka'!$P$3:$P$524,"=54")+SUMIFS('Unos rashoda P4'!$I$3:$I$501,'Unos rashoda P4'!$A$3:$A$501,"=71",'Unos rashoda P4'!$S$3:$S$501,"=54")</f>
        <v>0</v>
      </c>
      <c r="V24" s="74">
        <f>SUMIFS('Unos rashoda i izdataka'!$K$3:$K$524,'Unos rashoda i izdataka'!$C$3:$C$524,"=81",'Unos rashoda i izdataka'!$P$3:$P$524,"=54")+SUMIFS('Unos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4" t="s">
        <v>236</v>
      </c>
      <c r="B26" s="375"/>
      <c r="C26" s="376" t="s">
        <v>5267</v>
      </c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8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primitaka'!$I$3:$I$502,'Unos prihoda i primitaka'!$C$3:$C$502,"=43",'Unos prihoda i primitaka'!$L$3:$L$502,"=81")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primitaka'!$I$3:$I$502,'Unos prihoda i primitaka'!$C$3:$C$502,"=81",'Unos prihoda i primitaka'!$L$3:$L$502,"=81")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primitaka'!$I$3:$I$502,'Unos prihoda i primitaka'!$C$3:$C$502,"=43",'Unos prihoda i primitaka'!$L$3:$L$502,"=82")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primitaka'!$I$3:$I$502,'Unos prihoda i primitaka'!$C$3:$C$502,"=81",'Unos prihoda i primitaka'!$L$3:$L$502,"=82")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primitaka'!$I$3:$I$502,'Unos prihoda i primitaka'!$C$3:$C$502,"=43",'Unos prihoda i primitaka'!$L$3:$L$502,"=83")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primitaka'!$I$3:$I$502,'Unos prihoda i primitaka'!$C$3:$C$502,"=81",'Unos prihoda i primitaka'!$L$3:$L$502,"=83")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primitaka'!$I$3:$I$502,'Unos prihoda i primitaka'!$C$3:$C$502,"=43",'Unos prihoda i primitaka'!$L$3:$L$502,"=84")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primitaka'!$I$3:$I$502,'Unos prihoda i primitaka'!$C$3:$C$502,"=81",'Unos prihoda i primitaka'!$L$3:$L$502,"=84")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izdataka'!$L$3:$L$524,'Unos rashoda i izdataka'!$C$3:$C$524,"=11",'Unos rashoda i izdataka'!$P$3:$P$524,"=51")+SUMIFS('Unos rashoda P4'!$J$3:$J$501,'Unos rashoda P4'!$A$3:$A$501,"=11",'Unos rashoda P4'!$S$3:$S$501,"=51")</f>
        <v>0</v>
      </c>
      <c r="E34" s="74">
        <f>SUMIFS('Unos rashoda i izdataka'!$L$3:$L$524,'Unos rashoda i izdataka'!$C$3:$C$524,"=12",'Unos rashoda i izdataka'!$P$3:$P$524,"=51")+SUMIFS('Unos rashoda P4'!$J$3:$J$501,'Unos rashoda P4'!$A$3:$A$501,"=12",'Unos rashoda P4'!$S$3:$S$501,"=51")</f>
        <v>0</v>
      </c>
      <c r="F34" s="74">
        <f>SUMIFS('Unos rashoda i izdataka'!$L$3:$L$524,'Unos rashoda i izdataka'!$C$3:$C$524,"=31",'Unos rashoda i izdataka'!$P$3:$P$524,"=51")+SUMIFS('Unos rashoda P4'!$J$3:$J$501,'Unos rashoda P4'!$A$3:$A$501,"=31",'Unos rashoda P4'!$S$3:$S$501,"=51")</f>
        <v>0</v>
      </c>
      <c r="G34" s="74">
        <f>SUMIFS('Unos rashoda i izdataka'!$L$3:$L$524,'Unos rashoda i izdataka'!$C$3:$C$524,"=41",'Unos rashoda i izdataka'!$P$3:$P$524,"=51")+SUMIFS('Unos rashoda P4'!$J$3:$J$501,'Unos rashoda P4'!$A$3:$A$501,"=41",'Unos rashoda P4'!$S$3:$S$501,"=51")</f>
        <v>0</v>
      </c>
      <c r="H34" s="74">
        <f>SUMIFS('Unos rashoda i izdataka'!$L$3:$L$524,'Unos rashoda i izdataka'!$C$3:$C$524,"=43",'Unos rashoda i izdataka'!$P$3:$P$524,"=51")+SUMIFS('Unos rashoda P4'!$J$3:$J$501,'Unos rashoda P4'!$A$3:$A$501,"=43",'Unos rashoda P4'!$S$3:$S$501,"=51")</f>
        <v>0</v>
      </c>
      <c r="I34" s="74">
        <f>SUMIFS('Unos rashoda i izdataka'!$L$3:$L$524,'Unos rashoda i izdataka'!$C$3:$C$524,"=51",'Unos rashoda i izdataka'!$P$3:$P$524,"=51")+SUMIFS('Unos rashoda P4'!$J$3:$J$501,'Unos rashoda P4'!$A$3:$A$501,"=51",'Unos rashoda P4'!$S$3:$S$501,"=51")</f>
        <v>0</v>
      </c>
      <c r="J34" s="74">
        <f>SUMIFS('Unos rashoda i izdataka'!$L$3:$L$524,'Unos rashoda i izdataka'!$C$3:$C$524,"=52",'Unos rashoda i izdataka'!$P$3:$P$524,"=51")+SUMIFS('Unos rashoda P4'!$J$3:$J$501,'Unos rashoda P4'!$A$3:$A$501,"=52",'Unos rashoda P4'!$S$3:$S$501,"=51")</f>
        <v>0</v>
      </c>
      <c r="K34" s="74">
        <f>SUMIFS('Unos rashoda i izdataka'!$L$3:$L$524,'Unos rashoda i izdataka'!$C$3:$C$524,"=552",'Unos rashoda i izdataka'!$P$3:$P$524,"=51")+SUMIFS('Unos rashoda P4'!$J$3:$J$501,'Unos rashoda P4'!$A$3:$A$501,"=552",'Unos rashoda P4'!$S$3:$S$501,"=51")</f>
        <v>0</v>
      </c>
      <c r="L34" s="74">
        <f>SUMIFS('Unos rashoda i izdataka'!$L$3:$L$524,'Unos rashoda i izdataka'!$C$3:$C$524,"=559",'Unos rashoda i izdataka'!$P$3:$P$524,"=51")+SUMIFS('Unos rashoda P4'!$J$3:$J$501,'Unos rashoda P4'!$A$3:$A$501,"=559",'Unos rashoda P4'!$S$3:$S$501,"=51")</f>
        <v>0</v>
      </c>
      <c r="M34" s="74">
        <f>SUMIFS('Unos rashoda i izdataka'!$L$3:$L$524,'Unos rashoda i izdataka'!$C$3:$C$524,"=561",'Unos rashoda i izdataka'!$P$3:$P$524,"=51")+SUMIFS('Unos rashoda P4'!$J$3:$J$501,'Unos rashoda P4'!$A$3:$A$501,"=561",'Unos rashoda P4'!$S$3:$S$501,"=51")</f>
        <v>0</v>
      </c>
      <c r="N34" s="74">
        <f>SUMIFS('Unos rashoda i izdataka'!$L$3:$L$524,'Unos rashoda i izdataka'!$C$3:$C$524,"=563",'Unos rashoda i izdataka'!$P$3:$P$524,"=51")+SUMIFS('Unos rashoda P4'!$J$3:$J$501,'Unos rashoda P4'!$A$3:$A$501,"=563",'Unos rashoda P4'!$S$3:$S$501,"=51")</f>
        <v>0</v>
      </c>
      <c r="O34" s="74">
        <f>SUMIFS('Unos rashoda i izdataka'!$L$3:$L$524,'Unos rashoda i izdataka'!$C$3:$C$524,"=573",'Unos rashoda i izdataka'!$P$3:$P$524,"=51")+SUMIFS('Unos rashoda P4'!$J$3:$J$501,'Unos rashoda P4'!$A$3:$A$501,"=573",'Unos rashoda P4'!$S$3:$S$501,"=51")</f>
        <v>0</v>
      </c>
      <c r="P34" s="74">
        <f>SUMIFS('Unos rashoda i izdataka'!$L$3:$L$524,'Unos rashoda i izdataka'!$C$3:$C$524,"=575",'Unos rashoda i izdataka'!$P$3:$P$524,"=51")+SUMIFS('Unos rashoda P4'!$J$3:$J$501,'Unos rashoda P4'!$A$3:$A$501,"=575",'Unos rashoda P4'!$S$3:$S$501,"=51")</f>
        <v>0</v>
      </c>
      <c r="Q34" s="74">
        <f>SUMIFS('Unos rashoda i izdataka'!$L$3:$L$524,'Unos rashoda i izdataka'!$Q$3:$Q$524,"=576",'Unos rashoda i izdataka'!$P$3:$P$524,"=51")+SUMIFS('Unos rashoda P4'!$J$3:$J$501,'Unos rashoda P4'!$A$3:$A$501,"=576",'Unos rashoda P4'!$S$3:$S$501,"=51")</f>
        <v>0</v>
      </c>
      <c r="R34" s="74">
        <f>SUMIFS('Unos rashoda i izdataka'!$L$3:$L$524,'Unos rashoda i izdataka'!$C$3:$C$524,"=581",'Unos rashoda i izdataka'!$P$3:$P$524,"=51")+SUMIFS('Unos rashoda P4'!$J$3:$J$501,'Unos rashoda P4'!$A$3:$A$501,"=581",'Unos rashoda P4'!$S$3:$S$501,"=51")</f>
        <v>0</v>
      </c>
      <c r="S34" s="74">
        <f>SUMIFS('Unos rashoda i izdataka'!$L$3:$L$524,'Unos rashoda i izdataka'!$C$3:$C$524,"=61",'Unos rashoda i izdataka'!$P$3:$P$524,"=51")+SUMIFS('Unos rashoda P4'!$J$3:$J$501,'Unos rashoda P4'!$A$3:$A$501,"=61",'Unos rashoda P4'!$S$3:$S$501,"=51")</f>
        <v>0</v>
      </c>
      <c r="T34" s="74">
        <f>SUMIFS('Unos rashoda i izdataka'!$L$3:$L$524,'Unos rashoda i izdataka'!$C$3:$C$524,"=63",'Unos rashoda i izdataka'!$P$3:$P$524,"=51")+SUMIFS('Unos rashoda P4'!$J$3:$J$501,'Unos rashoda P4'!$A$3:$A$501,"=63",'Unos rashoda P4'!$S$3:$S$501,"=51")</f>
        <v>0</v>
      </c>
      <c r="U34" s="74">
        <f>SUMIFS('Unos rashoda i izdataka'!$L$3:$L$524,'Unos rashoda i izdataka'!$C$3:$C$524,"=71",'Unos rashoda i izdataka'!$P$3:$P$524,"=51")+SUMIFS('Unos rashoda P4'!$J$3:$J$501,'Unos rashoda P4'!$A$3:$A$501,"=71",'Unos rashoda P4'!$S$3:$S$501,"=51")</f>
        <v>0</v>
      </c>
      <c r="V34" s="74">
        <f>SUMIFS('Unos rashoda i izdataka'!$L$3:$L$524,'Unos rashoda i izdataka'!$C$3:$C$524,"=81",'Unos rashoda i izdataka'!$P$3:$P$524,"=51")+SUMIFS('Unos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izdataka'!$L$3:$L$524,'Unos rashoda i izdataka'!$C$3:$C$524,"=11",'Unos rashoda i izdataka'!$P$3:$P$524,"=54")+SUMIFS('Unos rashoda P4'!$J$3:$J$501,'Unos rashoda P4'!$A$3:$A$501,"=11",'Unos rashoda P4'!$S$3:$S$501,"=54")</f>
        <v>0</v>
      </c>
      <c r="E35" s="74">
        <f>SUMIFS('Unos rashoda i izdataka'!$L$3:$L$524,'Unos rashoda i izdataka'!$C$3:$C$524,"=12",'Unos rashoda i izdataka'!$P$3:$P$524,"=54")+SUMIFS('Unos rashoda P4'!$J$3:$J$501,'Unos rashoda P4'!$A$3:$A$501,"=12",'Unos rashoda P4'!$S$3:$S$501,"=54")</f>
        <v>0</v>
      </c>
      <c r="F35" s="74">
        <f>SUMIFS('Unos rashoda i izdataka'!$L$3:$L$524,'Unos rashoda i izdataka'!$C$3:$C$524,"=31",'Unos rashoda i izdataka'!$P$3:$P$524,"=54")+SUMIFS('Unos rashoda P4'!$J$3:$J$501,'Unos rashoda P4'!$A$3:$A$501,"=31",'Unos rashoda P4'!$S$3:$S$501,"=54")</f>
        <v>0</v>
      </c>
      <c r="G35" s="74">
        <f>SUMIFS('Unos rashoda i izdataka'!$L$3:$L$524,'Unos rashoda i izdataka'!$C$3:$C$524,"=41",'Unos rashoda i izdataka'!$P$3:$P$524,"=54")+SUMIFS('Unos rashoda P4'!$J$3:$J$501,'Unos rashoda P4'!$A$3:$A$501,"=41",'Unos rashoda P4'!$S$3:$S$501,"=54")</f>
        <v>0</v>
      </c>
      <c r="H35" s="74">
        <f>SUMIFS('Unos rashoda i izdataka'!$L$3:$L$524,'Unos rashoda i izdataka'!$C$3:$C$524,"=43",'Unos rashoda i izdataka'!$P$3:$P$524,"=54")+SUMIFS('Unos rashoda P4'!$J$3:$J$501,'Unos rashoda P4'!$A$3:$A$501,"=43",'Unos rashoda P4'!$S$3:$S$501,"=54")</f>
        <v>0</v>
      </c>
      <c r="I35" s="74">
        <f>SUMIFS('Unos rashoda i izdataka'!$L$3:$L$524,'Unos rashoda i izdataka'!$C$3:$C$524,"=51",'Unos rashoda i izdataka'!$P$3:$P$524,"=54")+SUMIFS('Unos rashoda P4'!$J$3:$J$501,'Unos rashoda P4'!$A$3:$A$501,"=51",'Unos rashoda P4'!$S$3:$S$501,"=54")</f>
        <v>0</v>
      </c>
      <c r="J35" s="74">
        <f>SUMIFS('Unos rashoda i izdataka'!$L$3:$L$524,'Unos rashoda i izdataka'!$C$3:$C$524,"=52",'Unos rashoda i izdataka'!$P$3:$P$524,"=54")+SUMIFS('Unos rashoda P4'!$J$3:$J$501,'Unos rashoda P4'!$A$3:$A$501,"=52",'Unos rashoda P4'!$S$3:$S$501,"=54")</f>
        <v>0</v>
      </c>
      <c r="K35" s="74">
        <f>SUMIFS('Unos rashoda i izdataka'!$L$3:$L$524,'Unos rashoda i izdataka'!$C$3:$C$524,"=552",'Unos rashoda i izdataka'!$P$3:$P$524,"=54")+SUMIFS('Unos rashoda P4'!$J$3:$J$501,'Unos rashoda P4'!$A$3:$A$501,"=552",'Unos rashoda P4'!$S$3:$S$501,"=54")</f>
        <v>0</v>
      </c>
      <c r="L35" s="74">
        <f>SUMIFS('Unos rashoda i izdataka'!$L$3:$L$524,'Unos rashoda i izdataka'!$C$3:$C$524,"=559",'Unos rashoda i izdataka'!$P$3:$P$524,"=54")+SUMIFS('Unos rashoda P4'!$J$3:$J$501,'Unos rashoda P4'!$A$3:$A$501,"=559",'Unos rashoda P4'!$S$3:$S$501,"=54")</f>
        <v>0</v>
      </c>
      <c r="M35" s="74">
        <f>SUMIFS('Unos rashoda i izdataka'!$L$3:$L$524,'Unos rashoda i izdataka'!$C$3:$C$524,"=561",'Unos rashoda i izdataka'!$P$3:$P$524,"=54")+SUMIFS('Unos rashoda P4'!$J$3:$J$501,'Unos rashoda P4'!$A$3:$A$501,"=561",'Unos rashoda P4'!$S$3:$S$501,"=54")</f>
        <v>0</v>
      </c>
      <c r="N35" s="74">
        <f>SUMIFS('Unos rashoda i izdataka'!$L$3:$L$524,'Unos rashoda i izdataka'!$C$3:$C$524,"=563",'Unos rashoda i izdataka'!$P$3:$P$524,"=54")+SUMIFS('Unos rashoda P4'!$J$3:$J$501,'Unos rashoda P4'!$A$3:$A$501,"=563",'Unos rashoda P4'!$S$3:$S$501,"=54")</f>
        <v>0</v>
      </c>
      <c r="O35" s="74">
        <f>SUMIFS('Unos rashoda i izdataka'!$L$3:$L$524,'Unos rashoda i izdataka'!$C$3:$C$524,"=573",'Unos rashoda i izdataka'!$P$3:$P$524,"=54")+SUMIFS('Unos rashoda P4'!$J$3:$J$501,'Unos rashoda P4'!$A$3:$A$501,"=573",'Unos rashoda P4'!$S$3:$S$501,"=54")</f>
        <v>0</v>
      </c>
      <c r="P35" s="74">
        <f>SUMIFS('Unos rashoda i izdataka'!$L$3:$L$524,'Unos rashoda i izdataka'!$C$3:$C$524,"=575",'Unos rashoda i izdataka'!$P$3:$P$524,"=54")+SUMIFS('Unos rashoda P4'!$J$3:$J$501,'Unos rashoda P4'!$A$3:$A$501,"=575",'Unos rashoda P4'!$S$3:$S$501,"=54")</f>
        <v>0</v>
      </c>
      <c r="Q35" s="74">
        <f>SUMIFS('Unos rashoda i izdataka'!$L$3:$L$524,'Unos rashoda i izdataka'!$Q$3:$Q$524,"=576",'Unos rashoda i izdataka'!$P$3:$P$524,"=54")+SUMIFS('Unos rashoda P4'!$J$3:$J$501,'Unos rashoda P4'!$A$3:$A$501,"=576",'Unos rashoda P4'!$S$3:$S$501,"=54")</f>
        <v>0</v>
      </c>
      <c r="R35" s="74">
        <f>SUMIFS('Unos rashoda i izdataka'!$L$3:$L$524,'Unos rashoda i izdataka'!$C$3:$C$524,"=581",'Unos rashoda i izdataka'!$P$3:$P$524,"=54")+SUMIFS('Unos rashoda P4'!$J$3:$J$501,'Unos rashoda P4'!$A$3:$A$501,"=581",'Unos rashoda P4'!$S$3:$S$501,"=54")</f>
        <v>0</v>
      </c>
      <c r="S35" s="74">
        <f>SUMIFS('Unos rashoda i izdataka'!$L$3:$L$524,'Unos rashoda i izdataka'!$C$3:$C$524,"=61",'Unos rashoda i izdataka'!$P$3:$P$524,"=54")+SUMIFS('Unos rashoda P4'!$J$3:$J$501,'Unos rashoda P4'!$A$3:$A$501,"=61",'Unos rashoda P4'!$S$3:$S$501,"=54")</f>
        <v>0</v>
      </c>
      <c r="T35" s="74">
        <f>SUMIFS('Unos rashoda i izdataka'!$L$3:$L$524,'Unos rashoda i izdataka'!$C$3:$C$524,"=63",'Unos rashoda i izdataka'!$P$3:$P$524,"=54")+SUMIFS('Unos rashoda P4'!$J$3:$J$501,'Unos rashoda P4'!$A$3:$A$501,"=63",'Unos rashoda P4'!$S$3:$S$501,"=54")</f>
        <v>0</v>
      </c>
      <c r="U35" s="74">
        <f>SUMIFS('Unos rashoda i izdataka'!$L$3:$L$524,'Unos rashoda i izdataka'!$C$3:$C$524,"=71",'Unos rashoda i izdataka'!$P$3:$P$524,"=54")+SUMIFS('Unos rashoda P4'!$J$3:$J$501,'Unos rashoda P4'!$A$3:$A$501,"=71",'Unos rashoda P4'!$S$3:$S$501,"=54")</f>
        <v>0</v>
      </c>
      <c r="V35" s="74">
        <f>SUMIFS('Unos rashoda i izdataka'!$L$3:$L$524,'Unos rashoda i izdataka'!$C$3:$C$524,"=81",'Unos rashoda i izdataka'!$P$3:$P$524,"=54")+SUMIFS('Unos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pageSetup paperSize="9"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Katarina Varnica</cp:lastModifiedBy>
  <cp:lastPrinted>2023-12-01T07:03:50Z</cp:lastPrinted>
  <dcterms:created xsi:type="dcterms:W3CDTF">2018-09-10T07:36:17Z</dcterms:created>
  <dcterms:modified xsi:type="dcterms:W3CDTF">2023-12-07T10:57:40Z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